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95" yWindow="65431" windowWidth="11505" windowHeight="9075" firstSheet="2" activeTab="2"/>
  </bookViews>
  <sheets>
    <sheet name="OWData" sheetId="1" state="hidden" r:id="rId1"/>
    <sheet name="FX" sheetId="2" state="hidden" r:id="rId2"/>
    <sheet name="Links &amp; Intro" sheetId="3" r:id="rId3"/>
    <sheet name="oneworld" sheetId="4" r:id="rId4"/>
    <sheet name="Star Alliance" sheetId="5" r:id="rId5"/>
    <sheet name="SATemp" sheetId="6" state="hidden" r:id="rId6"/>
    <sheet name="SAData" sheetId="7" state="hidden" r:id="rId7"/>
    <sheet name="SkyTeam" sheetId="8" r:id="rId8"/>
    <sheet name="STData" sheetId="9" state="hidden" r:id="rId9"/>
  </sheets>
  <definedNames>
    <definedName name="cl">'oneworld'!$AU$3</definedName>
    <definedName name="class">'oneworld'!$C$3</definedName>
    <definedName name="continents">'oneworld'!$C$4</definedName>
    <definedName name="dfx">'oneworld'!$C$2</definedName>
    <definedName name="fx">'FX'!$Q$5:$V$100</definedName>
    <definedName name="fxconv">'FX'!$H$2</definedName>
    <definedName name="fxdaily" localSheetId="1">'FX'!$O$5:$R$59</definedName>
    <definedName name="fxdaily_1" localSheetId="1">'FX'!$O$5:$T$79</definedName>
    <definedName name="fxDate">'FX'!$K$3</definedName>
    <definedName name="index" localSheetId="1">'FX'!$M$5:$AI$20</definedName>
    <definedName name="listkey">'oneworld'!$AU$2</definedName>
    <definedName name="oldOWPrices">'OWData'!$B$246:$P$327</definedName>
    <definedName name="rtwDate">'Links &amp; Intro'!$A$2</definedName>
    <definedName name="SAcl">'Star Alliance'!$C$3</definedName>
    <definedName name="SAfx">'Star Alliance'!$C$2</definedName>
    <definedName name="SAopt">'Star Alliance'!$C$4</definedName>
    <definedName name="STcl">'SkyTeam'!$C$3</definedName>
    <definedName name="STclid">'SkyTeam'!$AT$3</definedName>
    <definedName name="STfx">'SkyTeam'!$C$2</definedName>
    <definedName name="STOpt">'SkyTeam'!$C$4</definedName>
    <definedName name="version">'Links &amp; Intro'!$A$1</definedName>
  </definedNames>
  <calcPr fullCalcOnLoad="1"/>
</workbook>
</file>

<file path=xl/comments4.xml><?xml version="1.0" encoding="utf-8"?>
<comments xmlns="http://schemas.openxmlformats.org/spreadsheetml/2006/main">
  <authors>
    <author>Author</author>
  </authors>
  <commentList>
    <comment ref="B7" authorId="0">
      <text>
        <r>
          <rPr>
            <b/>
            <sz val="8"/>
            <rFont val="Tahoma"/>
            <family val="0"/>
          </rPr>
          <t>Author:</t>
        </r>
        <r>
          <rPr>
            <sz val="8"/>
            <rFont val="Tahoma"/>
            <family val="0"/>
          </rPr>
          <t xml:space="preserve">
Difference between cheapest and most expensive</t>
        </r>
      </text>
    </comment>
    <comment ref="B8" authorId="0">
      <text>
        <r>
          <rPr>
            <b/>
            <sz val="8"/>
            <rFont val="Tahoma"/>
            <family val="0"/>
          </rPr>
          <t>Author:</t>
        </r>
        <r>
          <rPr>
            <sz val="8"/>
            <rFont val="Tahoma"/>
            <family val="0"/>
          </rPr>
          <t xml:space="preserve">
Difference in price between the country you selected in cell C5 and the cheapest price</t>
        </r>
      </text>
    </comment>
    <comment ref="B2" authorId="0">
      <text>
        <r>
          <rPr>
            <b/>
            <sz val="8"/>
            <rFont val="Tahoma"/>
            <family val="0"/>
          </rPr>
          <t>Author:</t>
        </r>
        <r>
          <rPr>
            <sz val="8"/>
            <rFont val="Tahoma"/>
            <family val="0"/>
          </rPr>
          <t xml:space="preserve">
currency to display prices in (exchange rates updated 5 October 2004)</t>
        </r>
      </text>
    </comment>
    <comment ref="B3" authorId="0">
      <text>
        <r>
          <rPr>
            <b/>
            <sz val="8"/>
            <rFont val="Tahoma"/>
            <family val="0"/>
          </rPr>
          <t>Author:</t>
        </r>
        <r>
          <rPr>
            <sz val="8"/>
            <rFont val="Tahoma"/>
            <family val="0"/>
          </rPr>
          <t xml:space="preserve">
Class of service to display prices for</t>
        </r>
      </text>
    </comment>
    <comment ref="B4" authorId="0">
      <text>
        <r>
          <rPr>
            <b/>
            <sz val="8"/>
            <rFont val="Tahoma"/>
            <family val="0"/>
          </rPr>
          <t>Author:</t>
        </r>
        <r>
          <rPr>
            <sz val="8"/>
            <rFont val="Tahoma"/>
            <family val="0"/>
          </rPr>
          <t xml:space="preserve">
Number of contintents to base the sort on</t>
        </r>
      </text>
    </comment>
    <comment ref="B5" authorId="0">
      <text>
        <r>
          <rPr>
            <b/>
            <sz val="8"/>
            <rFont val="Tahoma"/>
            <family val="0"/>
          </rPr>
          <t>Author:</t>
        </r>
        <r>
          <rPr>
            <sz val="8"/>
            <rFont val="Tahoma"/>
            <family val="0"/>
          </rPr>
          <t xml:space="preserve">
Country to compare prices to</t>
        </r>
      </text>
    </comment>
  </commentList>
</comments>
</file>

<file path=xl/comments5.xml><?xml version="1.0" encoding="utf-8"?>
<comments xmlns="http://schemas.openxmlformats.org/spreadsheetml/2006/main">
  <authors>
    <author>Author</author>
  </authors>
  <commentList>
    <comment ref="B7" authorId="0">
      <text>
        <r>
          <rPr>
            <b/>
            <sz val="8"/>
            <rFont val="Tahoma"/>
            <family val="0"/>
          </rPr>
          <t>Author:</t>
        </r>
        <r>
          <rPr>
            <sz val="8"/>
            <rFont val="Tahoma"/>
            <family val="0"/>
          </rPr>
          <t xml:space="preserve">
Difference between cheapest and most expensive</t>
        </r>
      </text>
    </comment>
    <comment ref="B8" authorId="0">
      <text>
        <r>
          <rPr>
            <b/>
            <sz val="8"/>
            <rFont val="Tahoma"/>
            <family val="0"/>
          </rPr>
          <t>Author:</t>
        </r>
        <r>
          <rPr>
            <sz val="8"/>
            <rFont val="Tahoma"/>
            <family val="0"/>
          </rPr>
          <t xml:space="preserve">
Difference in price between the country you selected in cell C5 and the cheapest price</t>
        </r>
      </text>
    </comment>
    <comment ref="B2" authorId="0">
      <text>
        <r>
          <rPr>
            <b/>
            <sz val="8"/>
            <rFont val="Tahoma"/>
            <family val="0"/>
          </rPr>
          <t>Author:</t>
        </r>
        <r>
          <rPr>
            <sz val="8"/>
            <rFont val="Tahoma"/>
            <family val="0"/>
          </rPr>
          <t xml:space="preserve">
currency to display prices in (exchange rates updated 5 October 2004)</t>
        </r>
      </text>
    </comment>
    <comment ref="B3" authorId="0">
      <text>
        <r>
          <rPr>
            <b/>
            <sz val="8"/>
            <rFont val="Tahoma"/>
            <family val="0"/>
          </rPr>
          <t>Author:</t>
        </r>
        <r>
          <rPr>
            <sz val="8"/>
            <rFont val="Tahoma"/>
            <family val="0"/>
          </rPr>
          <t xml:space="preserve">
Class of service to display prices for</t>
        </r>
      </text>
    </comment>
    <comment ref="B4" authorId="0">
      <text>
        <r>
          <rPr>
            <b/>
            <sz val="8"/>
            <rFont val="Tahoma"/>
            <family val="0"/>
          </rPr>
          <t>Author:</t>
        </r>
        <r>
          <rPr>
            <sz val="8"/>
            <rFont val="Tahoma"/>
            <family val="0"/>
          </rPr>
          <t xml:space="preserve">
Number of contintents to base the sort on</t>
        </r>
      </text>
    </comment>
    <comment ref="B5" authorId="0">
      <text>
        <r>
          <rPr>
            <b/>
            <sz val="8"/>
            <rFont val="Tahoma"/>
            <family val="0"/>
          </rPr>
          <t>Author:</t>
        </r>
        <r>
          <rPr>
            <sz val="8"/>
            <rFont val="Tahoma"/>
            <family val="0"/>
          </rPr>
          <t xml:space="preserve">
Country to compare prices to</t>
        </r>
      </text>
    </comment>
    <comment ref="A12" authorId="0">
      <text>
        <r>
          <rPr>
            <b/>
            <sz val="8"/>
            <rFont val="Tahoma"/>
            <family val="0"/>
          </rPr>
          <t>Author:</t>
        </r>
        <r>
          <rPr>
            <sz val="8"/>
            <rFont val="Tahoma"/>
            <family val="0"/>
          </rPr>
          <t xml:space="preserve">
*A RTW fares have increased yet again as of April 15th, 2005. I only have updated prices for the countries without an asterisk, i.e. very few at the moment. General increases are 10% for F, 7% for C and 5% for Y.
Updated information is obviously welcome!
</t>
        </r>
        <r>
          <rPr>
            <b/>
            <sz val="8"/>
            <rFont val="Tahoma"/>
            <family val="0"/>
          </rPr>
          <t>13 Jan 06:</t>
        </r>
        <r>
          <rPr>
            <sz val="8"/>
            <rFont val="Tahoma"/>
            <family val="0"/>
          </rPr>
          <t xml:space="preserve"> Prices keep getting staler, so the usefulness of the asterisk is diminishing. I'll try to get a more complete update soon.</t>
        </r>
      </text>
    </comment>
  </commentList>
</comments>
</file>

<file path=xl/comments7.xml><?xml version="1.0" encoding="utf-8"?>
<comments xmlns="http://schemas.openxmlformats.org/spreadsheetml/2006/main">
  <authors>
    <author>Author</author>
  </authors>
  <commentList>
    <comment ref="E3" authorId="0">
      <text>
        <r>
          <rPr>
            <b/>
            <sz val="8"/>
            <rFont val="Tahoma"/>
            <family val="0"/>
          </rPr>
          <t>Author:</t>
        </r>
        <r>
          <rPr>
            <sz val="8"/>
            <rFont val="Tahoma"/>
            <family val="0"/>
          </rPr>
          <t xml:space="preserve">
Formula to look up on SATemp, replaced by hardcoded value in v 1.9.9 *A update. Taken from cell E7.
</t>
        </r>
      </text>
    </comment>
    <comment ref="C3" authorId="0">
      <text>
        <r>
          <rPr>
            <b/>
            <sz val="8"/>
            <rFont val="Tahoma"/>
            <family val="0"/>
          </rPr>
          <t>Author:</t>
        </r>
        <r>
          <rPr>
            <sz val="8"/>
            <rFont val="Tahoma"/>
            <family val="0"/>
          </rPr>
          <t xml:space="preserve">
from cell C6
</t>
        </r>
      </text>
    </comment>
  </commentList>
</comments>
</file>

<file path=xl/comments8.xml><?xml version="1.0" encoding="utf-8"?>
<comments xmlns="http://schemas.openxmlformats.org/spreadsheetml/2006/main">
  <authors>
    <author>Author</author>
  </authors>
  <commentList>
    <comment ref="B7" authorId="0">
      <text>
        <r>
          <rPr>
            <b/>
            <sz val="8"/>
            <rFont val="Tahoma"/>
            <family val="0"/>
          </rPr>
          <t>Author:</t>
        </r>
        <r>
          <rPr>
            <sz val="8"/>
            <rFont val="Tahoma"/>
            <family val="0"/>
          </rPr>
          <t xml:space="preserve">
Difference between cheapest and most expensive</t>
        </r>
      </text>
    </comment>
    <comment ref="B8" authorId="0">
      <text>
        <r>
          <rPr>
            <b/>
            <sz val="8"/>
            <rFont val="Tahoma"/>
            <family val="0"/>
          </rPr>
          <t>Author:</t>
        </r>
        <r>
          <rPr>
            <sz val="8"/>
            <rFont val="Tahoma"/>
            <family val="0"/>
          </rPr>
          <t xml:space="preserve">
Difference in price between the country you selected in cell C5 and the cheapest price</t>
        </r>
      </text>
    </comment>
    <comment ref="B2" authorId="0">
      <text>
        <r>
          <rPr>
            <b/>
            <sz val="8"/>
            <rFont val="Tahoma"/>
            <family val="0"/>
          </rPr>
          <t>Author:</t>
        </r>
        <r>
          <rPr>
            <sz val="8"/>
            <rFont val="Tahoma"/>
            <family val="0"/>
          </rPr>
          <t xml:space="preserve">
currency to display prices in </t>
        </r>
      </text>
    </comment>
    <comment ref="B3" authorId="0">
      <text>
        <r>
          <rPr>
            <b/>
            <sz val="8"/>
            <rFont val="Tahoma"/>
            <family val="0"/>
          </rPr>
          <t>Author:</t>
        </r>
        <r>
          <rPr>
            <sz val="8"/>
            <rFont val="Tahoma"/>
            <family val="0"/>
          </rPr>
          <t xml:space="preserve">
Class of service to sort price on</t>
        </r>
      </text>
    </comment>
    <comment ref="B5" authorId="0">
      <text>
        <r>
          <rPr>
            <b/>
            <sz val="8"/>
            <rFont val="Tahoma"/>
            <family val="0"/>
          </rPr>
          <t>Author:</t>
        </r>
        <r>
          <rPr>
            <sz val="8"/>
            <rFont val="Tahoma"/>
            <family val="0"/>
          </rPr>
          <t xml:space="preserve">
Country to compare prices to</t>
        </r>
      </text>
    </comment>
    <comment ref="B4" authorId="0">
      <text>
        <r>
          <rPr>
            <b/>
            <sz val="8"/>
            <rFont val="Tahoma"/>
            <family val="0"/>
          </rPr>
          <t>Author:</t>
        </r>
        <r>
          <rPr>
            <sz val="8"/>
            <rFont val="Tahoma"/>
            <family val="0"/>
          </rPr>
          <t xml:space="preserve">
Mileage to sort on</t>
        </r>
      </text>
    </comment>
  </commentList>
</comments>
</file>

<file path=xl/sharedStrings.xml><?xml version="1.0" encoding="utf-8"?>
<sst xmlns="http://schemas.openxmlformats.org/spreadsheetml/2006/main" count="6339" uniqueCount="1763">
  <si>
    <t>v1.9.2: update of oneworld xONEx farelevels, especially Egypt</t>
  </si>
  <si>
    <t>v1.9.0: total update of all oneworld xONEx fare levels from the RTW fare file that comes with the new oneworld electronic timetable. Total FX update.</t>
  </si>
  <si>
    <t>FARES</t>
  </si>
  <si>
    <t>LAST</t>
  </si>
  <si>
    <t>UPDATED</t>
  </si>
  <si>
    <t>AM</t>
  </si>
  <si>
    <t>$DCMBCMB15MAR-RTW</t>
  </si>
  <si>
    <t>LH</t>
  </si>
  <si>
    <t>CMB-CMB</t>
  </si>
  <si>
    <t>TUE-15MAR05</t>
  </si>
  <si>
    <t>TAXES/FEES</t>
  </si>
  <si>
    <t>NOT</t>
  </si>
  <si>
    <t>INCLUDED</t>
  </si>
  <si>
    <t>PUBLIC</t>
  </si>
  <si>
    <t>CX</t>
  </si>
  <si>
    <t>FARE</t>
  </si>
  <si>
    <t>BASIS</t>
  </si>
  <si>
    <t>1X</t>
  </si>
  <si>
    <t>212800R</t>
  </si>
  <si>
    <t>YRWSPCL</t>
  </si>
  <si>
    <t>H</t>
  </si>
  <si>
    <t>2X</t>
  </si>
  <si>
    <t>235600R</t>
  </si>
  <si>
    <t>3X</t>
  </si>
  <si>
    <t>270900R</t>
  </si>
  <si>
    <t>4X</t>
  </si>
  <si>
    <t>318000R</t>
  </si>
  <si>
    <t>5X</t>
  </si>
  <si>
    <t>428900R</t>
  </si>
  <si>
    <t>6X</t>
  </si>
  <si>
    <t>493200R</t>
  </si>
  <si>
    <t>7X</t>
  </si>
  <si>
    <t>579000R</t>
  </si>
  <si>
    <t>8X</t>
  </si>
  <si>
    <t>699400R</t>
  </si>
  <si>
    <t>9X</t>
  </si>
  <si>
    <t>804400R</t>
  </si>
  <si>
    <t>10X</t>
  </si>
  <si>
    <t>944300R</t>
  </si>
  <si>
    <t>/</t>
  </si>
  <si>
    <t>EQU</t>
  </si>
  <si>
    <t>BANK</t>
  </si>
  <si>
    <t>SELLING</t>
  </si>
  <si>
    <t>RATE</t>
  </si>
  <si>
    <t>1LKR</t>
  </si>
  <si>
    <t>$DNANNAN15MAR-RTW</t>
  </si>
  <si>
    <t>NZ</t>
  </si>
  <si>
    <t>[NZ</t>
  </si>
  <si>
    <t>offers</t>
  </si>
  <si>
    <t>fares]</t>
  </si>
  <si>
    <t>NAN-NAN</t>
  </si>
  <si>
    <t>YLRWESC</t>
  </si>
  <si>
    <t>VRWHLY</t>
  </si>
  <si>
    <t>YHRWESC</t>
  </si>
  <si>
    <t>CRWESC</t>
  </si>
  <si>
    <t>FRWESC</t>
  </si>
  <si>
    <t>11X</t>
  </si>
  <si>
    <t>ZRWHLY</t>
  </si>
  <si>
    <t>12X</t>
  </si>
  <si>
    <t>13X</t>
  </si>
  <si>
    <t>14X</t>
  </si>
  <si>
    <t>15X</t>
  </si>
  <si>
    <t>16X</t>
  </si>
  <si>
    <t>‡$DBOMBOM15MAR-RRTW</t>
  </si>
  <si>
    <t>BOM-BOM</t>
  </si>
  <si>
    <t>100700R</t>
  </si>
  <si>
    <t>111500R</t>
  </si>
  <si>
    <t>128200R</t>
  </si>
  <si>
    <t>150500R</t>
  </si>
  <si>
    <t>202900R</t>
  </si>
  <si>
    <t>233300R</t>
  </si>
  <si>
    <t>273950R</t>
  </si>
  <si>
    <t>330900R</t>
  </si>
  <si>
    <t>380500R</t>
  </si>
  <si>
    <t>446700R</t>
  </si>
  <si>
    <t>Lowest</t>
  </si>
  <si>
    <t>price</t>
  </si>
  <si>
    <t>=</t>
  </si>
  <si>
    <t>93100R</t>
  </si>
  <si>
    <t>‡$DISTIST15MAR-RTW</t>
  </si>
  <si>
    <t>IST-IST</t>
  </si>
  <si>
    <t>‡$DTBUTBU155MAR-RTW</t>
  </si>
  <si>
    <t>TBU-TBU</t>
  </si>
  <si>
    <t>YRWESC</t>
  </si>
  <si>
    <t>1TOP</t>
  </si>
  <si>
    <t>‡$DBKKBKK155MAR-RTW</t>
  </si>
  <si>
    <t>BKK-BKK</t>
  </si>
  <si>
    <t>71000R</t>
  </si>
  <si>
    <t>YCASTAR1</t>
  </si>
  <si>
    <t>81700R</t>
  </si>
  <si>
    <t>YCASTAR2</t>
  </si>
  <si>
    <t>84090R</t>
  </si>
  <si>
    <t>95090R</t>
  </si>
  <si>
    <t>109390R</t>
  </si>
  <si>
    <t>119200R</t>
  </si>
  <si>
    <t>CCASTAR1</t>
  </si>
  <si>
    <t>128390R</t>
  </si>
  <si>
    <t>137100R</t>
  </si>
  <si>
    <t>CCASTAR2</t>
  </si>
  <si>
    <t>168000R</t>
  </si>
  <si>
    <t>FCASTAR1</t>
  </si>
  <si>
    <t>175690R</t>
  </si>
  <si>
    <t>193200R</t>
  </si>
  <si>
    <t>FCASTAR2</t>
  </si>
  <si>
    <t>202090R</t>
  </si>
  <si>
    <t>237190R</t>
  </si>
  <si>
    <t>260390R</t>
  </si>
  <si>
    <t>299390R</t>
  </si>
  <si>
    <t>351390R</t>
  </si>
  <si>
    <t>1THB</t>
  </si>
  <si>
    <t>‡$DKULKUL155MAR-RTW</t>
  </si>
  <si>
    <t>KUL-KUL</t>
  </si>
  <si>
    <t>1MYR</t>
  </si>
  <si>
    <t>[Note:</t>
  </si>
  <si>
    <t>change</t>
  </si>
  <si>
    <t>here]</t>
  </si>
  <si>
    <t>‡$DCGKCGK15MAR-RTW</t>
  </si>
  <si>
    <t>JKT-JKT</t>
  </si>
  <si>
    <t>‡$DTPETPE15MAR-RTW</t>
  </si>
  <si>
    <t>TPE-TPE</t>
  </si>
  <si>
    <t>63370R</t>
  </si>
  <si>
    <t>72300R</t>
  </si>
  <si>
    <t>72700R</t>
  </si>
  <si>
    <t>82600R</t>
  </si>
  <si>
    <t>94900R</t>
  </si>
  <si>
    <t>117240R</t>
  </si>
  <si>
    <t>135670R</t>
  </si>
  <si>
    <t>161700R</t>
  </si>
  <si>
    <t>167350R</t>
  </si>
  <si>
    <t>186000R</t>
  </si>
  <si>
    <t>Ireland Basic</t>
  </si>
  <si>
    <t>New Zealand Peak</t>
  </si>
  <si>
    <t>New Zealand Basic</t>
  </si>
  <si>
    <t>(NOK)</t>
  </si>
  <si>
    <t>23180R</t>
  </si>
  <si>
    <t>26650R</t>
  </si>
  <si>
    <t>31280R</t>
  </si>
  <si>
    <t>45160R</t>
  </si>
  <si>
    <t>51950R</t>
  </si>
  <si>
    <t>60990R</t>
  </si>
  <si>
    <t>64000R</t>
  </si>
  <si>
    <t>Code</t>
  </si>
  <si>
    <t>USD/1 Unit</t>
  </si>
  <si>
    <t xml:space="preserve">Units/1 USD </t>
  </si>
  <si>
    <t>Egyptian Pound</t>
  </si>
  <si>
    <t>Canadian Dollar</t>
  </si>
  <si>
    <t>Swiss Franc</t>
  </si>
  <si>
    <t>British Pound</t>
  </si>
  <si>
    <t>Japanese Yen</t>
  </si>
  <si>
    <t>Euro</t>
  </si>
  <si>
    <t>Sri Lanka Rupee</t>
  </si>
  <si>
    <t>Thai Baht</t>
  </si>
  <si>
    <t>DJF_USD_MUR_NAD_SCR_ZAR_CNY_HKD_INR_JPY_KRW_MYR_PKR_SGD_LKR_TWD_THB_EUR_CYP_CZK_DKK_EEK_GIP_HUF_LVL_MTL_MAD_NOK_SEK_CHF_TND_GBP_BHD_EGP_IRR_JOD_KWD_OMR_QAR_SAR_SYP_AED_AUD_NZD_CAD_XPF_SKK_TOP_WST_FJD_PLN_LTL_FKP_JOB</t>
  </si>
  <si>
    <t>Norwegian Kroner</t>
  </si>
  <si>
    <t>Swedish Krona</t>
  </si>
  <si>
    <t>Tunisian Dinar</t>
  </si>
  <si>
    <t>Bahraini Dinar</t>
  </si>
  <si>
    <t>Iranian Rial</t>
  </si>
  <si>
    <t>Jordanian Dinar</t>
  </si>
  <si>
    <t>Kuwaiti Dinar</t>
  </si>
  <si>
    <t>Omani Rial</t>
  </si>
  <si>
    <t>Qatari Rial</t>
  </si>
  <si>
    <t>Saudi Riyal</t>
  </si>
  <si>
    <t>Syrian Pound</t>
  </si>
  <si>
    <t>Utd. Arab Emir. Dirham</t>
  </si>
  <si>
    <t>Australian Dollar</t>
  </si>
  <si>
    <t>New Zealand Dollar</t>
  </si>
  <si>
    <t>CFP Franc</t>
  </si>
  <si>
    <t>Base Currency: US Dollar, USD on Friday, May 2, 2008</t>
  </si>
  <si>
    <t>v2.0.1</t>
  </si>
  <si>
    <t>v2.0.1: Fixed a number erroneous fares</t>
  </si>
  <si>
    <t>Slovak Koruna</t>
  </si>
  <si>
    <t>Tonga Pa'anga</t>
  </si>
  <si>
    <t>Samoan Tala</t>
  </si>
  <si>
    <t>Fiji Dollar</t>
  </si>
  <si>
    <t>Polish Zloty</t>
  </si>
  <si>
    <t>Lithuanian Litas</t>
  </si>
  <si>
    <t>Falkland Islands Pound</t>
  </si>
  <si>
    <t>v1.9.4: fixed minor oneworld glitches, and a *A glitch.</t>
  </si>
  <si>
    <t>73590R</t>
  </si>
  <si>
    <t>86400R</t>
  </si>
  <si>
    <t>v1.9.1: update of a number of *A fare levels, and an fx update.</t>
  </si>
  <si>
    <t>12100R</t>
  </si>
  <si>
    <t>13900R</t>
  </si>
  <si>
    <t>16350R</t>
  </si>
  <si>
    <t>7875R</t>
  </si>
  <si>
    <t>9075R</t>
  </si>
  <si>
    <t>v1.9.3: update of Eurozone *A fares</t>
  </si>
  <si>
    <t>Djibouti Franc</t>
  </si>
  <si>
    <t>US Dollar</t>
  </si>
  <si>
    <t>Mauritius Rupee</t>
  </si>
  <si>
    <t>Namibia Dollar</t>
  </si>
  <si>
    <t>Seychelles Rupee</t>
  </si>
  <si>
    <t>South African Rand</t>
  </si>
  <si>
    <t>Chinese Yuan Renminbi</t>
  </si>
  <si>
    <t>Hong Kong Dollar</t>
  </si>
  <si>
    <t>Indian Rupee</t>
  </si>
  <si>
    <t>South-Korean Won</t>
  </si>
  <si>
    <t>Malaysian Ringgit</t>
  </si>
  <si>
    <t>Pakistan Rupee</t>
  </si>
  <si>
    <t>Singapore Dollar</t>
  </si>
  <si>
    <t>Taiwan Dollar</t>
  </si>
  <si>
    <t>Cyprus Pound</t>
  </si>
  <si>
    <t>Czech Koruna</t>
  </si>
  <si>
    <t>Danish Krone</t>
  </si>
  <si>
    <t>Estonian Kroon</t>
  </si>
  <si>
    <t>Gibraltar Pound</t>
  </si>
  <si>
    <t>Hungarian Forint</t>
  </si>
  <si>
    <t>Latvian Lats</t>
  </si>
  <si>
    <t>Maltese Lira</t>
  </si>
  <si>
    <t>Moroccan Dirham</t>
  </si>
  <si>
    <t>USD2959</t>
  </si>
  <si>
    <t>USD2645</t>
  </si>
  <si>
    <t>USD2622</t>
  </si>
  <si>
    <t>USD2550</t>
  </si>
  <si>
    <t>USD2778</t>
  </si>
  <si>
    <t>USD2958</t>
  </si>
  <si>
    <t>USD2984</t>
  </si>
  <si>
    <t>EUR2341</t>
  </si>
  <si>
    <t>USD2777</t>
  </si>
  <si>
    <t>EUR2178</t>
  </si>
  <si>
    <t>USD2899</t>
  </si>
  <si>
    <t>USD3062</t>
  </si>
  <si>
    <t>USD3195</t>
  </si>
  <si>
    <t>USD2520</t>
  </si>
  <si>
    <t>USD2413</t>
  </si>
  <si>
    <t>USD3423</t>
  </si>
  <si>
    <t>USD2218</t>
  </si>
  <si>
    <t>EUR1730</t>
  </si>
  <si>
    <t>USD2361</t>
  </si>
  <si>
    <t>EUR1746</t>
  </si>
  <si>
    <t>v1.7.8: fixed the decimal separator issue (again)</t>
  </si>
  <si>
    <t>v1.7.9: added Australia Star Alliance fares</t>
  </si>
  <si>
    <t>114850R</t>
  </si>
  <si>
    <t>132000R</t>
  </si>
  <si>
    <t>155000R</t>
  </si>
  <si>
    <t>217100R</t>
  </si>
  <si>
    <t>250000R</t>
  </si>
  <si>
    <t>293150R</t>
  </si>
  <si>
    <t>364000R</t>
  </si>
  <si>
    <t>418600R</t>
  </si>
  <si>
    <t>491400R</t>
  </si>
  <si>
    <t>TG</t>
  </si>
  <si>
    <t>57X</t>
  </si>
  <si>
    <t>36X</t>
  </si>
  <si>
    <t>32790R</t>
  </si>
  <si>
    <t>37720R</t>
  </si>
  <si>
    <t>44290R</t>
  </si>
  <si>
    <t>35X</t>
  </si>
  <si>
    <t>50850R</t>
  </si>
  <si>
    <t>38X</t>
  </si>
  <si>
    <t>58480R</t>
  </si>
  <si>
    <t>40X</t>
  </si>
  <si>
    <t>68640R</t>
  </si>
  <si>
    <t>13480R</t>
  </si>
  <si>
    <t>16200R</t>
  </si>
  <si>
    <t>18620R</t>
  </si>
  <si>
    <t>21860R</t>
  </si>
  <si>
    <t>19APR05**19APR05/LH</t>
  </si>
  <si>
    <t>SOFSOF/NSP;RW</t>
  </si>
  <si>
    <t>OW</t>
  </si>
  <si>
    <t>RT</t>
  </si>
  <si>
    <t>B</t>
  </si>
  <si>
    <t>SOF</t>
  </si>
  <si>
    <t>4599R</t>
  </si>
  <si>
    <t>10300R</t>
  </si>
  <si>
    <t>11320R</t>
  </si>
  <si>
    <t>13030R</t>
  </si>
  <si>
    <t>15250R</t>
  </si>
  <si>
    <t>22880R</t>
  </si>
  <si>
    <t>26340R</t>
  </si>
  <si>
    <t>30960R</t>
  </si>
  <si>
    <t>33890R</t>
  </si>
  <si>
    <t>39050R</t>
  </si>
  <si>
    <t>45750R</t>
  </si>
  <si>
    <t>2939R</t>
  </si>
  <si>
    <t>3379R</t>
  </si>
  <si>
    <t>3969R</t>
  </si>
  <si>
    <t>6349R</t>
  </si>
  <si>
    <t>7289R</t>
  </si>
  <si>
    <t>8549R</t>
  </si>
  <si>
    <t>9789R</t>
  </si>
  <si>
    <t>11259R</t>
  </si>
  <si>
    <t>v1.7.10: more Star Alliance fares: India, Malaysia, Israel, Lebanon, Denmark and Bulgaria</t>
  </si>
  <si>
    <t>v1.8.0: big update of oneworld xONEx fare levels, fx update; still to do: catch up on Star Alliance developments</t>
  </si>
  <si>
    <t>Angola</t>
  </si>
  <si>
    <t>Ethiopia</t>
  </si>
  <si>
    <t>Falkland Islands</t>
  </si>
  <si>
    <t>Serbia-Montenegro</t>
  </si>
  <si>
    <t>Somalia</t>
  </si>
  <si>
    <t>FKP</t>
  </si>
  <si>
    <t>JOB</t>
  </si>
  <si>
    <t>MLA</t>
  </si>
  <si>
    <t>United Kingdom Basic</t>
  </si>
  <si>
    <t>United Kingdom Peak</t>
  </si>
  <si>
    <t>Australia Peak</t>
  </si>
  <si>
    <t>Australia Basic</t>
  </si>
  <si>
    <t>Ireland Peak</t>
  </si>
  <si>
    <t>v1.6.4: Minor maintenance behind the scenes</t>
  </si>
  <si>
    <t>v1.6.5: FX update, update of ex-WAW prices for oneworld</t>
  </si>
  <si>
    <t>v1.7.0: updated oneworld prices from Qantas pdf file effective 15 Apr 05</t>
  </si>
  <si>
    <t>OLD</t>
  </si>
  <si>
    <t>6469R</t>
  </si>
  <si>
    <t>7459R</t>
  </si>
  <si>
    <t>8779R</t>
  </si>
  <si>
    <t>3869R</t>
  </si>
  <si>
    <t>4409R</t>
  </si>
  <si>
    <t>5189R</t>
  </si>
  <si>
    <t>8750R</t>
  </si>
  <si>
    <t>61000R</t>
  </si>
  <si>
    <t>70000R</t>
  </si>
  <si>
    <t>82000R</t>
  </si>
  <si>
    <t>39000R</t>
  </si>
  <si>
    <t>45000R</t>
  </si>
  <si>
    <t>53000R</t>
  </si>
  <si>
    <t>21000R</t>
  </si>
  <si>
    <t>25000R</t>
  </si>
  <si>
    <t>12999R</t>
  </si>
  <si>
    <t>19060R</t>
  </si>
  <si>
    <t>Al B's Star Alliance RTW Price Chart 2005</t>
  </si>
  <si>
    <t>Patron's Star Alliance RTW Price Chart 2004</t>
  </si>
  <si>
    <t>CathayTalk oneworld forum</t>
  </si>
  <si>
    <t>And CathayTalk...</t>
  </si>
  <si>
    <t>Updated 2005 Star Alliance RTW rules</t>
  </si>
  <si>
    <t>v1.7.5: first cut at updating the Star Alliance Apr15th price increases and fx update</t>
  </si>
  <si>
    <t>v1.7.6: fixed the asterisk comments on the Star Alliance page</t>
  </si>
  <si>
    <t>Q</t>
  </si>
  <si>
    <t>M</t>
  </si>
  <si>
    <t>V</t>
  </si>
  <si>
    <t>Z</t>
  </si>
  <si>
    <t>END</t>
  </si>
  <si>
    <t>30X</t>
  </si>
  <si>
    <t>29X</t>
  </si>
  <si>
    <t>31X</t>
  </si>
  <si>
    <t>32X</t>
  </si>
  <si>
    <t>33X</t>
  </si>
  <si>
    <t>74900R</t>
  </si>
  <si>
    <t>36000R</t>
  </si>
  <si>
    <t>41400R</t>
  </si>
  <si>
    <t>48500R</t>
  </si>
  <si>
    <t>23300R</t>
  </si>
  <si>
    <t>26800R</t>
  </si>
  <si>
    <t>31400R</t>
  </si>
  <si>
    <t>12400R</t>
  </si>
  <si>
    <t>14500R</t>
  </si>
  <si>
    <t>v1.7.7: further updates for the new Star Alliance fares</t>
  </si>
  <si>
    <t>USD2143</t>
  </si>
  <si>
    <t>EUR1679</t>
  </si>
  <si>
    <t>5399R</t>
  </si>
  <si>
    <t>6249R</t>
  </si>
  <si>
    <t>9699R</t>
  </si>
  <si>
    <t>11449R</t>
  </si>
  <si>
    <t>USD1764</t>
  </si>
  <si>
    <t>USD2483</t>
  </si>
  <si>
    <t>USD2732</t>
  </si>
  <si>
    <t>2359R</t>
  </si>
  <si>
    <t>14190R</t>
  </si>
  <si>
    <t>1995R</t>
  </si>
  <si>
    <t>2397R</t>
  </si>
  <si>
    <t>2762R</t>
  </si>
  <si>
    <t>3236R</t>
  </si>
  <si>
    <t>4550R</t>
  </si>
  <si>
    <t>5249R</t>
  </si>
  <si>
    <t>6150R</t>
  </si>
  <si>
    <t>6730R</t>
  </si>
  <si>
    <t>7740R</t>
  </si>
  <si>
    <t>9080R</t>
  </si>
  <si>
    <t>3010R</t>
  </si>
  <si>
    <t>3339R</t>
  </si>
  <si>
    <t>3380R</t>
  </si>
  <si>
    <t>3829R</t>
  </si>
  <si>
    <t>3880R</t>
  </si>
  <si>
    <t>4560R</t>
  </si>
  <si>
    <t>7789R</t>
  </si>
  <si>
    <t>8900R</t>
  </si>
  <si>
    <t>10250R</t>
  </si>
  <si>
    <t>10469R</t>
  </si>
  <si>
    <t>10579R</t>
  </si>
  <si>
    <t>11160R</t>
  </si>
  <si>
    <t>12030R</t>
  </si>
  <si>
    <t>12850R</t>
  </si>
  <si>
    <t>15060R</t>
  </si>
  <si>
    <t>6453R</t>
  </si>
  <si>
    <t>7343R</t>
  </si>
  <si>
    <t>8981R</t>
  </si>
  <si>
    <t>10380R</t>
  </si>
  <si>
    <t>10903R</t>
  </si>
  <si>
    <t>11930R</t>
  </si>
  <si>
    <t>12461R</t>
  </si>
  <si>
    <t>14010R</t>
  </si>
  <si>
    <t>15353R</t>
  </si>
  <si>
    <t>17578R</t>
  </si>
  <si>
    <t>22100R</t>
  </si>
  <si>
    <t>27600R</t>
  </si>
  <si>
    <t>31750R</t>
  </si>
  <si>
    <t>37270R</t>
  </si>
  <si>
    <t>1749R</t>
  </si>
  <si>
    <t>2013R</t>
  </si>
  <si>
    <t>2289R</t>
  </si>
  <si>
    <t>2749R</t>
  </si>
  <si>
    <t>2936R</t>
  </si>
  <si>
    <t>3159R</t>
  </si>
  <si>
    <t>3377R</t>
  </si>
  <si>
    <t>3709R</t>
  </si>
  <si>
    <t>4139R</t>
  </si>
  <si>
    <t>4759R</t>
  </si>
  <si>
    <t>4979R</t>
  </si>
  <si>
    <t>5729R</t>
  </si>
  <si>
    <t>6699R</t>
  </si>
  <si>
    <t>6719R</t>
  </si>
  <si>
    <t>7749R</t>
  </si>
  <si>
    <t>9069R</t>
  </si>
  <si>
    <t>965R</t>
  </si>
  <si>
    <t>1417R</t>
  </si>
  <si>
    <t>2899R</t>
  </si>
  <si>
    <t>5499R</t>
  </si>
  <si>
    <t>7640R</t>
  </si>
  <si>
    <t>9170R</t>
  </si>
  <si>
    <t>10540R</t>
  </si>
  <si>
    <t>12370R</t>
  </si>
  <si>
    <t>17500R</t>
  </si>
  <si>
    <t>20050R</t>
  </si>
  <si>
    <t>23550R</t>
  </si>
  <si>
    <t>25800R</t>
  </si>
  <si>
    <t>29600R</t>
  </si>
  <si>
    <t>34800R</t>
  </si>
  <si>
    <t>2199R</t>
  </si>
  <si>
    <t>2559R</t>
  </si>
  <si>
    <t>2942R</t>
  </si>
  <si>
    <t>3454R</t>
  </si>
  <si>
    <t>5239R</t>
  </si>
  <si>
    <t>6029R</t>
  </si>
  <si>
    <t>7079R</t>
  </si>
  <si>
    <t>7349R</t>
  </si>
  <si>
    <t>8449R</t>
  </si>
  <si>
    <t>9899R</t>
  </si>
  <si>
    <t>1999R</t>
  </si>
  <si>
    <t>2399R</t>
  </si>
  <si>
    <t>3249R</t>
  </si>
  <si>
    <t>5049R</t>
  </si>
  <si>
    <t>5849R</t>
  </si>
  <si>
    <t>6849R</t>
  </si>
  <si>
    <t>7649R</t>
  </si>
  <si>
    <t>8799R</t>
  </si>
  <si>
    <t>10399R</t>
  </si>
  <si>
    <t>2299R</t>
  </si>
  <si>
    <t>2699R</t>
  </si>
  <si>
    <t>3199R</t>
  </si>
  <si>
    <t>3459R</t>
  </si>
  <si>
    <t>3599R</t>
  </si>
  <si>
    <t>3909R</t>
  </si>
  <si>
    <t>4499R</t>
  </si>
  <si>
    <t>5199R</t>
  </si>
  <si>
    <t>5999R</t>
  </si>
  <si>
    <t>6399R</t>
  </si>
  <si>
    <t>7499R</t>
  </si>
  <si>
    <t>9169R</t>
  </si>
  <si>
    <t>10539R</t>
  </si>
  <si>
    <t>12379R</t>
  </si>
  <si>
    <t>12599R</t>
  </si>
  <si>
    <t>14739R</t>
  </si>
  <si>
    <t>17019R</t>
  </si>
  <si>
    <t>860R</t>
  </si>
  <si>
    <t>890R</t>
  </si>
  <si>
    <t>925R</t>
  </si>
  <si>
    <t>1045R</t>
  </si>
  <si>
    <t>1099R</t>
  </si>
  <si>
    <t>1210R</t>
  </si>
  <si>
    <t>1299R</t>
  </si>
  <si>
    <t>1442R</t>
  </si>
  <si>
    <t>1599R</t>
  </si>
  <si>
    <t>1751R</t>
  </si>
  <si>
    <t>1790R</t>
  </si>
  <si>
    <t>1799R</t>
  </si>
  <si>
    <t>2423R</t>
  </si>
  <si>
    <t>2727R</t>
  </si>
  <si>
    <t>3149R</t>
  </si>
  <si>
    <t>3150R</t>
  </si>
  <si>
    <t>3679R</t>
  </si>
  <si>
    <t>3837R</t>
  </si>
  <si>
    <t>4199R</t>
  </si>
  <si>
    <t>4644R</t>
  </si>
  <si>
    <t>4939R</t>
  </si>
  <si>
    <t>4999R</t>
  </si>
  <si>
    <t>5039R</t>
  </si>
  <si>
    <t>5555R</t>
  </si>
  <si>
    <t>5879R</t>
  </si>
  <si>
    <t>Indonesian Rupiah</t>
  </si>
  <si>
    <t>IDR</t>
  </si>
  <si>
    <t>Argentine Peso</t>
  </si>
  <si>
    <t>ARS</t>
  </si>
  <si>
    <t>Russian Rouble</t>
  </si>
  <si>
    <t>RUB</t>
  </si>
  <si>
    <t>old</t>
  </si>
  <si>
    <t>v2.0: Total update for all three alliances</t>
  </si>
  <si>
    <t>7979R</t>
  </si>
  <si>
    <t>3729R</t>
  </si>
  <si>
    <t>4299R</t>
  </si>
  <si>
    <t>5799R</t>
  </si>
  <si>
    <t>8539R</t>
  </si>
  <si>
    <t>9829R</t>
  </si>
  <si>
    <t>11539R</t>
  </si>
  <si>
    <t>11769R</t>
  </si>
  <si>
    <t>13529R</t>
  </si>
  <si>
    <t>15879R</t>
  </si>
  <si>
    <t>3700R</t>
  </si>
  <si>
    <t>4250R</t>
  </si>
  <si>
    <t>4990R</t>
  </si>
  <si>
    <t>9300R</t>
  </si>
  <si>
    <t>12000R</t>
  </si>
  <si>
    <t>2799R</t>
  </si>
  <si>
    <t>2889R</t>
  </si>
  <si>
    <t>3399R</t>
  </si>
  <si>
    <t>3999R</t>
  </si>
  <si>
    <t>4899R</t>
  </si>
  <si>
    <t>9799R</t>
  </si>
  <si>
    <t>10999R</t>
  </si>
  <si>
    <t>11999R</t>
  </si>
  <si>
    <t>13199R</t>
  </si>
  <si>
    <t>14999R</t>
  </si>
  <si>
    <t>2498R</t>
  </si>
  <si>
    <t>2680R</t>
  </si>
  <si>
    <t>3080R</t>
  </si>
  <si>
    <t>3610R</t>
  </si>
  <si>
    <t>6830R</t>
  </si>
  <si>
    <t>7850R</t>
  </si>
  <si>
    <t>8550R</t>
  </si>
  <si>
    <t>9220R</t>
  </si>
  <si>
    <t>9840R</t>
  </si>
  <si>
    <t>11540R</t>
  </si>
  <si>
    <t>5605R</t>
  </si>
  <si>
    <t>6188R</t>
  </si>
  <si>
    <t>7116R</t>
  </si>
  <si>
    <t>8354R</t>
  </si>
  <si>
    <t>14289R</t>
  </si>
  <si>
    <t>16429R</t>
  </si>
  <si>
    <t>19299R</t>
  </si>
  <si>
    <t>19769R</t>
  </si>
  <si>
    <t>22729R</t>
  </si>
  <si>
    <t>26689R</t>
  </si>
  <si>
    <t>v1.6.3: fixed the Egypt Star Alliance prices, which I'd accidentally overwritten in the 1.6 update</t>
  </si>
  <si>
    <t>oneworld RTW itinerary validator</t>
  </si>
  <si>
    <t xml:space="preserve">68 PHILIPPINES (USD) 6509 4829 2799 </t>
  </si>
  <si>
    <t xml:space="preserve">69 POLAND (PLN) 24520 16600 9170 </t>
  </si>
  <si>
    <t xml:space="preserve">70 POLYNESIA (XPF) 739000 558100 239100 </t>
  </si>
  <si>
    <t xml:space="preserve">71 PORTUGAL (EUR) 7299 4799 2399 </t>
  </si>
  <si>
    <t xml:space="preserve">72 REUNION (EUR) 6759 4471 2339 </t>
  </si>
  <si>
    <t xml:space="preserve">73 ROMANIA (EUR) 5259 3559 1969 </t>
  </si>
  <si>
    <t xml:space="preserve">74 RUSSIA (USD) 7130 5090 2610 </t>
  </si>
  <si>
    <t xml:space="preserve">75 SAMOA (WST) 17263 12479 5676 </t>
  </si>
  <si>
    <t xml:space="preserve">76 SAUDI ARABIA (SAR) 25600 18590 10400 </t>
  </si>
  <si>
    <t xml:space="preserve">77 SERBIA MONT (EUR) 5259 3559 1969 </t>
  </si>
  <si>
    <t xml:space="preserve">78 SEYCHELLES (SCR) 45761 36534 20220 </t>
  </si>
  <si>
    <t xml:space="preserve">79 SINGAPORE (SGD) 12690 8810 4760 </t>
  </si>
  <si>
    <t xml:space="preserve">80 SLOVAKIA (SKK) 300750 197740 98840 </t>
  </si>
  <si>
    <t xml:space="preserve">81 SLOVENIA (EUR) 5549 3799 1969 </t>
  </si>
  <si>
    <t xml:space="preserve">82 SOUTH AFRICA (ZAR) 45540 32440 17300 </t>
  </si>
  <si>
    <t xml:space="preserve">83 S. KOREA (KRW) 7689500 5157500 3046100 </t>
  </si>
  <si>
    <t xml:space="preserve">84 SPAIN (EUR) 7299 4799 2399 </t>
  </si>
  <si>
    <t xml:space="preserve">85 SRI LANKA (LKR) 666100 408400 235600 </t>
  </si>
  <si>
    <t xml:space="preserve">86 SWEDEN (SEK) 51060 33870 18150 </t>
  </si>
  <si>
    <t xml:space="preserve">87 SWITZERLAND (CHF) 10460 7010 3650 </t>
  </si>
  <si>
    <t xml:space="preserve">88 SYRIA (SYP) 321600 229600 117700 </t>
  </si>
  <si>
    <t xml:space="preserve">89 TAIWAN (TWD) 215200 154000 82600 </t>
  </si>
  <si>
    <t xml:space="preserve">90 THAILAND (THB) 255190 167290 95090 </t>
  </si>
  <si>
    <t xml:space="preserve">91 TONGA (TOP) 10630 8480 3380 </t>
  </si>
  <si>
    <t xml:space="preserve">92 TUNISIA (TND) 11689 25553 4788 </t>
  </si>
  <si>
    <t xml:space="preserve">93 TURKEY (USD) 6401 4332 2397 </t>
  </si>
  <si>
    <t xml:space="preserve">94 UAE (AED) 25100 18200 10200 </t>
  </si>
  <si>
    <t xml:space="preserve">95 UKRAINE (USD) 7130 5090 2610 </t>
  </si>
  <si>
    <t xml:space="preserve">96 USA (USD) 8300 6600 3700 </t>
  </si>
  <si>
    <t xml:space="preserve">97 VENEZUELA (USD) 8140 6500 2680 </t>
  </si>
  <si>
    <t>98 VIETNAM (USD) 6389 4739 2749</t>
  </si>
  <si>
    <t>RTW2</t>
  </si>
  <si>
    <t>RTW3</t>
  </si>
  <si>
    <t>A29000</t>
  </si>
  <si>
    <t>D29000</t>
  </si>
  <si>
    <t>L29000</t>
  </si>
  <si>
    <t>A34000</t>
  </si>
  <si>
    <t>D34000</t>
  </si>
  <si>
    <t>L34000</t>
  </si>
  <si>
    <t>A39000</t>
  </si>
  <si>
    <t>D39000</t>
  </si>
  <si>
    <t>L39000</t>
  </si>
  <si>
    <t>v1.4: Added prices for SkyTeam 29,000 and 34,000</t>
  </si>
  <si>
    <t>AONEx</t>
  </si>
  <si>
    <t>DONEx</t>
  </si>
  <si>
    <t>LONEx</t>
  </si>
  <si>
    <t>North America</t>
  </si>
  <si>
    <t>OLD OW PRICE DATA</t>
  </si>
  <si>
    <t>AONE</t>
  </si>
  <si>
    <t>DONE</t>
  </si>
  <si>
    <t>LONE</t>
  </si>
  <si>
    <t>OW prices increases</t>
  </si>
  <si>
    <t>v1.5: updated OW prices, plus some updates for Star Alliance (Tonga and Turkey)</t>
  </si>
  <si>
    <t>v1.6.1: removed the frozen panes from the display sheets. This would cause the pop-down lists to malfunction in certain versions of Excel.</t>
  </si>
  <si>
    <t>v1.6.2: fixed bug in Star Alliance data that led to incorrect display on systems with decimal separator set to comma instead of period.</t>
  </si>
  <si>
    <t>3200R</t>
  </si>
  <si>
    <t>3469R</t>
  </si>
  <si>
    <t>3529R</t>
  </si>
  <si>
    <t>3600R</t>
  </si>
  <si>
    <t>3889R</t>
  </si>
  <si>
    <t>4100R</t>
  </si>
  <si>
    <t>4800R</t>
  </si>
  <si>
    <t>6779R</t>
  </si>
  <si>
    <t>8300R</t>
  </si>
  <si>
    <t>8789R</t>
  </si>
  <si>
    <t>9629R</t>
  </si>
  <si>
    <t>9700R</t>
  </si>
  <si>
    <t>10600R</t>
  </si>
  <si>
    <t>10800R</t>
  </si>
  <si>
    <t xml:space="preserve">16 CANADA (CAD) 11209 8139 4299 </t>
  </si>
  <si>
    <t xml:space="preserve">17 CHILE (USD) 8140 6500 2680 </t>
  </si>
  <si>
    <t xml:space="preserve">18 CHINA (CNY) 58700 42600 23900 </t>
  </si>
  <si>
    <t xml:space="preserve">19 COLOMBIA (USD) 8140 6500 2680 </t>
  </si>
  <si>
    <t xml:space="preserve">20 COMOROS (USD) 7530 6011 3327 </t>
  </si>
  <si>
    <t xml:space="preserve">21 COSTA RICA (USD) 8299 6625 3671 </t>
  </si>
  <si>
    <t xml:space="preserve">22 CROATIA (EUR) 5259 3559 1969 </t>
  </si>
  <si>
    <t xml:space="preserve">23 CYPRUS (CYP) 4020 2670 1350 </t>
  </si>
  <si>
    <t xml:space="preserve">24 CZECH REP (CZK) 235200 154700 77200 </t>
  </si>
  <si>
    <t xml:space="preserve">25 DENMARK (DKK) 43200 28640 15420 </t>
  </si>
  <si>
    <t xml:space="preserve">26 DOMINICAN REP (USD) 7530 6011 3327 </t>
  </si>
  <si>
    <t xml:space="preserve">27 EGYPT (EGP) 46000 29600 15600 </t>
  </si>
  <si>
    <t xml:space="preserve">28 EL SALVADOR (USD) 8299 6625 3671 </t>
  </si>
  <si>
    <t xml:space="preserve">29 ESTONIA (EEK) 96300 68800 33500 </t>
  </si>
  <si>
    <t xml:space="preserve">30 FINLAND (EUR) 6229 4146 2201 </t>
  </si>
  <si>
    <t xml:space="preserve">31 FRANCE (EUR) 7299 4799 2399 </t>
  </si>
  <si>
    <t xml:space="preserve">32 FRENCH GUIANA (EUR) 6759 4471 2339 </t>
  </si>
  <si>
    <t xml:space="preserve">33 GERMANY (EUR) 7299 4799 2399 </t>
  </si>
  <si>
    <t xml:space="preserve">34 GREAT BRITAIN (GBP) 5599 3499 1299 </t>
  </si>
  <si>
    <t xml:space="preserve">35 GREECE (EUR) 7299 4799 2399 </t>
  </si>
  <si>
    <t xml:space="preserve">36 GUADELOUPE (EUR) 6499 4299 2249 </t>
  </si>
  <si>
    <t xml:space="preserve">37 GUATEMALA (USD) 8299 6625 3671 </t>
  </si>
  <si>
    <t xml:space="preserve">38 HONG KONG (HKD) 55400 40200 22500 </t>
  </si>
  <si>
    <t xml:space="preserve">39 HUNGARY (HUF) 1833600 1205600 602600 </t>
  </si>
  <si>
    <t xml:space="preserve">40 INDIA (INR) 315100 193200 111500 </t>
  </si>
  <si>
    <t xml:space="preserve">41 INDONESIA (USD) 6389 4739 2749 </t>
  </si>
  <si>
    <t xml:space="preserve">42 IRELAND (EUR) 7299 4799 2399 </t>
  </si>
  <si>
    <t xml:space="preserve">43 ISRAEL (USD) 6990 4990 2559 </t>
  </si>
  <si>
    <t xml:space="preserve">44 ITALY (EUR) 7299 4799 2399 </t>
  </si>
  <si>
    <t xml:space="preserve">45 JAMAICA (USD) 7717 6063 3320 </t>
  </si>
  <si>
    <t xml:space="preserve">46 JAPAN (JPY) 866000 595000 335000 </t>
  </si>
  <si>
    <t xml:space="preserve">47 JORDAN (JOD) 4966 3546 1818 </t>
  </si>
  <si>
    <t xml:space="preserve">48 KUWAIT (KWD) 2066 1595 833 </t>
  </si>
  <si>
    <t xml:space="preserve">49 LATVIA (LVL) 4069 2899 1417 </t>
  </si>
  <si>
    <t xml:space="preserve">50 LEBANON (USD) 6990 4990 2559 </t>
  </si>
  <si>
    <t xml:space="preserve">51 LITHUANIA (LTL) 21249 15159 7404 </t>
  </si>
  <si>
    <t xml:space="preserve">52 LUXEMBOURG (EUR) 7299 4799 2399 </t>
  </si>
  <si>
    <t xml:space="preserve">53 MADAGASCAR (USD) 7530 6011 3327 </t>
  </si>
  <si>
    <t xml:space="preserve">54 MALAYSIA (MYR) 26280 18270 10380 </t>
  </si>
  <si>
    <t>You have selected a currency which was replaced by the Euro.</t>
  </si>
  <si>
    <t>Please take a moment to read about the introduction of the Euro</t>
  </si>
  <si>
    <t>FXDaily © 1997-2008 by OANDA Corporation</t>
  </si>
  <si>
    <t xml:space="preserve">55 MALTA (MTL) 2829 1879 939 </t>
  </si>
  <si>
    <t xml:space="preserve">56 MARTINIQUE (EUR) 6759 4471 2339 </t>
  </si>
  <si>
    <t xml:space="preserve">57 MAURITIUS (MUR) 219345 175110 96920 </t>
  </si>
  <si>
    <t xml:space="preserve">58 MEXICO (USD) 8300 6600 3700 </t>
  </si>
  <si>
    <t xml:space="preserve">59 MOROCCO (MAD) 89465 71425 39535 </t>
  </si>
  <si>
    <t xml:space="preserve">60 NEPAL (USD) 6911 4237 2445 </t>
  </si>
  <si>
    <t xml:space="preserve">61 NETHERLANDS (EUR) 7299 4799 2399 </t>
  </si>
  <si>
    <t xml:space="preserve">62 NETH ANTILLES (USD) 7530 6011 3327 </t>
  </si>
  <si>
    <t xml:space="preserve">63 NEW CALEDONIA (XPF) 660500 536600 229900 </t>
  </si>
  <si>
    <t xml:space="preserve">64 NEW ZEALAND (NZD) 11669 8489 3599 </t>
  </si>
  <si>
    <t xml:space="preserve">65 NORWAY (NOK) 49050 32570 17530 </t>
  </si>
  <si>
    <t xml:space="preserve">66 PAKISTAN (PKR) 333840 248560 143520 </t>
  </si>
  <si>
    <t xml:space="preserve">67 PERU (USD) 8140 6500 2680 </t>
  </si>
  <si>
    <t xml:space="preserve">61 NETHERLANDS (EUR) 8399 5549 2749 </t>
  </si>
  <si>
    <t xml:space="preserve">62 NETH ANTILLES (USD) 8663 6926 3785 </t>
  </si>
  <si>
    <t xml:space="preserve">63 NEW CALEDONIA (XPF) 759600 617100 264300 </t>
  </si>
  <si>
    <t xml:space="preserve">64 NEW ZEALAND (NZD) 13649 9759 3909 </t>
  </si>
  <si>
    <t xml:space="preserve">65 NORWAY (NOK) 56410 37460 20150 </t>
  </si>
  <si>
    <t xml:space="preserve">66 PAKISTAN (PKR) 384800 284960 165360 </t>
  </si>
  <si>
    <t xml:space="preserve">67 PERU (USD) 9370 7480 3080 </t>
  </si>
  <si>
    <t xml:space="preserve">68 PHILIPPINES (USD) 7489 5559 3219 </t>
  </si>
  <si>
    <t xml:space="preserve">69 POLAND (PLN) 28200 19090 10540 </t>
  </si>
  <si>
    <t xml:space="preserve">70 POLYNESIA (XPF) 842000 641800 274900 </t>
  </si>
  <si>
    <t xml:space="preserve">71 PORTUGAL (EUR) 8399 5549 2749 </t>
  </si>
  <si>
    <t xml:space="preserve">72 REUNION (EUR) 7747 5147 2703 </t>
  </si>
  <si>
    <t xml:space="preserve">73 ROMANIA (EUR) 6049 4099 2269 </t>
  </si>
  <si>
    <t xml:space="preserve">74 RUSSIA (USD) 8200 5854 3001 </t>
  </si>
  <si>
    <t xml:space="preserve">75 SAMOA (WST) 19853 14351 6528 </t>
  </si>
  <si>
    <t xml:space="preserve">76 SAUDI ARABIA (SAR) 29440 21380 11960 </t>
  </si>
  <si>
    <t xml:space="preserve">77 SERBIA MONT (EUR) 6049 4099 2269 </t>
  </si>
  <si>
    <t xml:space="preserve">78 SEYCHELLES (SCR) 52650 42095 23001 </t>
  </si>
  <si>
    <t xml:space="preserve">79 SINGAPORE (SGD) 14600 10140 5470 </t>
  </si>
  <si>
    <t xml:space="preserve">80 SLOVAKIA (SKK) 345870 227410 113660 </t>
  </si>
  <si>
    <t xml:space="preserve">81 SLOVENIA (EUR) 6349 4299 2269 </t>
  </si>
  <si>
    <t xml:space="preserve">82 SOUTH AFRICA (ZAR) 52380 37310 19890 </t>
  </si>
  <si>
    <t xml:space="preserve">83 S. KOREA (KRW) 8843000 5931200 3503000 </t>
  </si>
  <si>
    <t xml:space="preserve">84 SPAIN (EUR) 8399 5549 2749 </t>
  </si>
  <si>
    <t xml:space="preserve">85 SRI LANKA (LKR) 766100 469700 270900 </t>
  </si>
  <si>
    <t xml:space="preserve">86 SWEDEN (SEK) 58720 38960 20870 </t>
  </si>
  <si>
    <t xml:space="preserve">87 SWITZERLAND (CHF) 12030 8070 4190 </t>
  </si>
  <si>
    <t xml:space="preserve">88 SYRIA (SYP) 369900 264100 135300 </t>
  </si>
  <si>
    <t xml:space="preserve">89 TAIWAN (TWD) 247500 177100 94900 </t>
  </si>
  <si>
    <t xml:space="preserve">90 THAILAND (THB) 293490 192390 109390 </t>
  </si>
  <si>
    <t xml:space="preserve">91 TONGA (TOP) 12230 9760 3380 </t>
  </si>
  <si>
    <t xml:space="preserve">92 TUNISIA (TND) 41268 29391 5447 </t>
  </si>
  <si>
    <t xml:space="preserve">93 TURKEY (USD) 7363 4989 2762 </t>
  </si>
  <si>
    <t xml:space="preserve">94 UAE (AED) 28900 20900 11700 </t>
  </si>
  <si>
    <t xml:space="preserve">95 UKRAINE (USD) 8200 5854 3001 </t>
  </si>
  <si>
    <t xml:space="preserve">96 USA (USD) 9550 7590 4250 </t>
  </si>
  <si>
    <t xml:space="preserve">97 VENEZUELA (USD) 9370 7480 3080 </t>
  </si>
  <si>
    <t>v1.9.9c: Fixed another FX bug on *A sheet</t>
  </si>
  <si>
    <t xml:space="preserve">98 VIETNAM (USD) 7349 5449 3159 </t>
  </si>
  <si>
    <t>15444-RTW RTW3 PAGE 22</t>
  </si>
  <si>
    <t xml:space="preserve">01 MAXIMUM PERMITTED MILEAGE FOR RTW 3 - 29000 </t>
  </si>
  <si>
    <t xml:space="preserve">05 ARGENTINA (USD) 8140 6500 2680 </t>
  </si>
  <si>
    <t xml:space="preserve">06 ARMENIA (USD) 7500 5350 2610 </t>
  </si>
  <si>
    <t xml:space="preserve">07 AUSTRALIA (AUD) 11599 8399 2889 </t>
  </si>
  <si>
    <t xml:space="preserve">08 AUSTRIA (EUR) 7299 4799 2399 </t>
  </si>
  <si>
    <t xml:space="preserve">09 AZERBAIJAN (USD) 7500 5350 2610 </t>
  </si>
  <si>
    <t xml:space="preserve">10 BAHAMAS (USD) 7717 6063 3320 </t>
  </si>
  <si>
    <t xml:space="preserve">11 BANGLADESH (USD) 6911 4237 2445 </t>
  </si>
  <si>
    <t xml:space="preserve">12 BELGIUM (EUR) 7299 4799 2399 </t>
  </si>
  <si>
    <t xml:space="preserve">13 BERMUDA (USD) 7717 6063 3320 </t>
  </si>
  <si>
    <t xml:space="preserve">14 BRAZIL (USD) 8140 6500 2680 </t>
  </si>
  <si>
    <t xml:space="preserve">15 BULGARIA (EUR) 5259 3559 1969 </t>
  </si>
  <si>
    <t xml:space="preserve">09 AZERBAIJAN (USD) 8600 6150 3001 </t>
  </si>
  <si>
    <t xml:space="preserve">10 BAHAMAS (USD) 8874 6978 3823 </t>
  </si>
  <si>
    <t xml:space="preserve">11 BANGLADESH (USD) 7948 4873 2812 </t>
  </si>
  <si>
    <t xml:space="preserve">12 BELGIUM (EUR) 8399 5549 2749 </t>
  </si>
  <si>
    <t xml:space="preserve">13 BERMUDA (USD) 8874 6978 3823 </t>
  </si>
  <si>
    <t xml:space="preserve">14 BRAZIL (USD) 9370 7480 3080 </t>
  </si>
  <si>
    <t xml:space="preserve">15 BULGARIA (EUR) 6049 4099 2269 </t>
  </si>
  <si>
    <t xml:space="preserve">16 CANADA (CAD) 12889 9359 4939 </t>
  </si>
  <si>
    <t xml:space="preserve">17 CHILE (USD) 9370 7480 3080 </t>
  </si>
  <si>
    <t xml:space="preserve">18 CHINA (CNY) 67510 48990 27480 </t>
  </si>
  <si>
    <t xml:space="preserve">19 COLOMBIA (USD) 9370 7480 3080 </t>
  </si>
  <si>
    <t xml:space="preserve">20 COMOROS (USD) 8663 6926 3785 </t>
  </si>
  <si>
    <t xml:space="preserve">21 COSTA RICA (USD) 9547 7613 4222 </t>
  </si>
  <si>
    <t xml:space="preserve">22 CROATIA (EUR) 6049 4099 2269 </t>
  </si>
  <si>
    <t xml:space="preserve">23 CYPRUS (CYP) 4630 3080 1550 </t>
  </si>
  <si>
    <t xml:space="preserve">24 CZECH REP (CZK) 270500 178000 88700 </t>
  </si>
  <si>
    <t xml:space="preserve">25 DENMARK (DKK) 49680 32940 17730 </t>
  </si>
  <si>
    <t xml:space="preserve">26 DOMINICAN REP (USD) 8663 6926 3781 </t>
  </si>
  <si>
    <t xml:space="preserve">27 EGYPT (EGP) 53800 34000 17900 </t>
  </si>
  <si>
    <t xml:space="preserve">28 EL SALVADOR (USD) 9547 7613 4222 </t>
  </si>
  <si>
    <t xml:space="preserve">29 ESTONIA (EEK) 110800 79100 38500 </t>
  </si>
  <si>
    <t xml:space="preserve">30 FINLAND (EUR) 7164 4768 2531 </t>
  </si>
  <si>
    <t xml:space="preserve">31 FRANCE (EUR) 8399 5549 2749 </t>
  </si>
  <si>
    <t xml:space="preserve">32 FRENCH GUIANA (EUR) 7747 5147 2703 </t>
  </si>
  <si>
    <t xml:space="preserve">33 GERMANY (EUR) 8399 5549 2749 </t>
  </si>
  <si>
    <t xml:space="preserve">34 GREAT BRITAIN (GBP) 6449 3999 1599 </t>
  </si>
  <si>
    <t xml:space="preserve">35 GREECE (EUR) 8399 5549 2749 </t>
  </si>
  <si>
    <t xml:space="preserve">36 GUADELOUPE (EUR) 7449 4949 2599 </t>
  </si>
  <si>
    <t xml:space="preserve">37 GUATEMALA (USD) 9547 7613 4222 </t>
  </si>
  <si>
    <t xml:space="preserve">38 HONG KONG (HKD) 63710 46230 25870 </t>
  </si>
  <si>
    <t xml:space="preserve">39 HUNGARY (HUF) 2108700 1386500 693000 </t>
  </si>
  <si>
    <t xml:space="preserve">40 INDIA (INR) 362400 222200 128200 </t>
  </si>
  <si>
    <t xml:space="preserve">41 INDONESIA (USD) 7349 5449 3159 </t>
  </si>
  <si>
    <t xml:space="preserve">42 IRELAND (EUR) 8399 5549 2749 </t>
  </si>
  <si>
    <t xml:space="preserve">43 ISRAEL (USD) 8039 5739 2942 </t>
  </si>
  <si>
    <t xml:space="preserve">44 ITALY (EUR) 8399 5549 2749 </t>
  </si>
  <si>
    <t xml:space="preserve">45 JAMAICA (USD) 8874 6978 3823 </t>
  </si>
  <si>
    <t xml:space="preserve">46 JAPAN (JPY) 996000 685000 385000 </t>
  </si>
  <si>
    <t>New table</t>
  </si>
  <si>
    <t>Same table available in HTML, ASCII, CSV.</t>
  </si>
  <si>
    <t>v1.9.9b: Fix FX update bug on *A sheet</t>
  </si>
  <si>
    <t xml:space="preserve">47 JORDAN (JOD) 5711 4078 2090 </t>
  </si>
  <si>
    <t xml:space="preserve">48 KUWAIT (KWD) 2376 1834 958 </t>
  </si>
  <si>
    <t xml:space="preserve">49 LATVIA (LVL) 4679 3349 1630 </t>
  </si>
  <si>
    <t xml:space="preserve">50 LEBANON (USD) 8039 5739 2942 </t>
  </si>
  <si>
    <t xml:space="preserve">51 LITHUANIA (LTL) 24449 17449 8513 </t>
  </si>
  <si>
    <t xml:space="preserve">52 LUXEMBOURG (EUR) 8399 5549 2749 </t>
  </si>
  <si>
    <t xml:space="preserve">53 MADAGASCAR (USD) 8663 6926 3785 </t>
  </si>
  <si>
    <t xml:space="preserve">54 MALAYSIA (MYR) 30230 21020 11930 </t>
  </si>
  <si>
    <t xml:space="preserve">55 MALTA (MTL) 3254 2161 1079 </t>
  </si>
  <si>
    <t xml:space="preserve">56 MARTINIQUE (EUR) 7747 5147 2703 </t>
  </si>
  <si>
    <t xml:space="preserve">57 MAURITIUS (MUR) 252365 201775 110250 </t>
  </si>
  <si>
    <t xml:space="preserve">58 MEXICO (USD) 9550 7590 4250 </t>
  </si>
  <si>
    <t xml:space="preserve">59 MOROCCO (MAD) 102930 82300 44965 </t>
  </si>
  <si>
    <t xml:space="preserve">60 NEPAL (USD) 7948 4873 2812 </t>
  </si>
  <si>
    <t>BELGIUM (EUR)</t>
  </si>
  <si>
    <t>BERMUDA (USD)</t>
  </si>
  <si>
    <t>BRAZIL (USD)</t>
  </si>
  <si>
    <t>BULGARIA (EUR)</t>
  </si>
  <si>
    <t>CANADA (CAD)</t>
  </si>
  <si>
    <t>CHILE (USD)</t>
  </si>
  <si>
    <t>CHINA (CNY)</t>
  </si>
  <si>
    <t>COLOMBIA (USD)</t>
  </si>
  <si>
    <t>COMOROS (USD)</t>
  </si>
  <si>
    <t>COSTA RICA (USD)</t>
  </si>
  <si>
    <t>CROATIA (EUR)</t>
  </si>
  <si>
    <t>CYPRUS (CYP)</t>
  </si>
  <si>
    <t>CZECH REP (CZK)</t>
  </si>
  <si>
    <t>DENMARK (DKK)</t>
  </si>
  <si>
    <t>DOMINICAN REP (USD)</t>
  </si>
  <si>
    <t>EGYPT (EGP)</t>
  </si>
  <si>
    <t>EL SALVADOR (USD)</t>
  </si>
  <si>
    <t>ESTONIA (EEK)</t>
  </si>
  <si>
    <t>FINLAND (EUR)</t>
  </si>
  <si>
    <t>FRANCE (EUR)</t>
  </si>
  <si>
    <t>FRENCH GUIANA (EUR)</t>
  </si>
  <si>
    <t>GERMANY (EUR)</t>
  </si>
  <si>
    <t>GREAT BRITAIN (GBP)</t>
  </si>
  <si>
    <t>GREECE (EUR)</t>
  </si>
  <si>
    <t>GUADELOUPE (EUR)</t>
  </si>
  <si>
    <t>GUATEMALA (USD)</t>
  </si>
  <si>
    <t>HONG KONG (HKD)</t>
  </si>
  <si>
    <t>HUNGARY (HUF)</t>
  </si>
  <si>
    <t>INDIA (INR)</t>
  </si>
  <si>
    <t>INDONESIA (USD)</t>
  </si>
  <si>
    <t>IRELAND (EUR)</t>
  </si>
  <si>
    <t>ISRAEL (USD)</t>
  </si>
  <si>
    <t>ITALY (EUR)</t>
  </si>
  <si>
    <t>JAMAICA (USD)</t>
  </si>
  <si>
    <t>JAPAN (JPY)</t>
  </si>
  <si>
    <t>JORDAN (JOD)</t>
  </si>
  <si>
    <t>KUWAIT (KWD)</t>
  </si>
  <si>
    <t>LATVIA (LVL)</t>
  </si>
  <si>
    <t>LEBANON (USD)</t>
  </si>
  <si>
    <t>LITHUANIA (LTL)</t>
  </si>
  <si>
    <t>LUXEMBOURG (EUR)</t>
  </si>
  <si>
    <t>MADAGASCAR (USD)</t>
  </si>
  <si>
    <t>MALAYSIA (MYR)</t>
  </si>
  <si>
    <t>MALTA (MTL)</t>
  </si>
  <si>
    <t>MARTINIQUE (EUR)</t>
  </si>
  <si>
    <t>MAURITIUS (MUR)</t>
  </si>
  <si>
    <t>MEXICO (USD)</t>
  </si>
  <si>
    <t>MOROCCO (MAD)</t>
  </si>
  <si>
    <t>NEPAL (USD)</t>
  </si>
  <si>
    <t>NETHERLANDS (EUR)</t>
  </si>
  <si>
    <t>NETH ANTILLES (USD)</t>
  </si>
  <si>
    <t>NEW CALEDONIA (XPF)</t>
  </si>
  <si>
    <t>NEW ZEALAND (NZD)</t>
  </si>
  <si>
    <t>NORWAY (NOK)</t>
  </si>
  <si>
    <t>PAKISTAN (PKR)</t>
  </si>
  <si>
    <t>PERU (USD)</t>
  </si>
  <si>
    <t>PHILIPPINES (USD)</t>
  </si>
  <si>
    <t>POLAND (PLN)</t>
  </si>
  <si>
    <t>POLYNESIA (XPF)</t>
  </si>
  <si>
    <t>PORTUGAL (EUR)</t>
  </si>
  <si>
    <t>REUNION (EUR)</t>
  </si>
  <si>
    <t>ROMANIA (EUR)</t>
  </si>
  <si>
    <t>RUSSIA (USD)</t>
  </si>
  <si>
    <t>SAMOA (WST)</t>
  </si>
  <si>
    <t>SAUDI ARABIA (SAR)</t>
  </si>
  <si>
    <t>SERBIA MONT (EUR)</t>
  </si>
  <si>
    <t>SEYCHELLES (SCR)</t>
  </si>
  <si>
    <t>SINGAPORE (SGD)</t>
  </si>
  <si>
    <t>SLOVAKIA (SKK)</t>
  </si>
  <si>
    <t>SLOVENIA (EUR)</t>
  </si>
  <si>
    <t>SOUTH AFRICA (ZAR)</t>
  </si>
  <si>
    <t>S. KOREA (KRW)</t>
  </si>
  <si>
    <t>SPAIN (EUR)</t>
  </si>
  <si>
    <t>SRI LANKA (LKR)</t>
  </si>
  <si>
    <t>SWEDEN (SEK)</t>
  </si>
  <si>
    <t>SWITZERLAND (CHF)</t>
  </si>
  <si>
    <t>SYRIA (SYP)</t>
  </si>
  <si>
    <t>TAIWAN (TWD)</t>
  </si>
  <si>
    <t>THAILAND (THB)</t>
  </si>
  <si>
    <t>TONGA (TOP)</t>
  </si>
  <si>
    <t>TUNISIA (TND)</t>
  </si>
  <si>
    <t>TURKEY (USD)</t>
  </si>
  <si>
    <t>UAE (AED)</t>
  </si>
  <si>
    <t>UKRAINE (USD)</t>
  </si>
  <si>
    <t>USA (USD)</t>
  </si>
  <si>
    <t>VENEZUELA (USD)</t>
  </si>
  <si>
    <t>VIETNAM (USD)</t>
  </si>
  <si>
    <t>LTL</t>
  </si>
  <si>
    <t>Serbia Mont</t>
  </si>
  <si>
    <t>Lithuania</t>
  </si>
  <si>
    <t>v1.3: updated exchange rates, and a complete update of SkyTeam fares</t>
  </si>
  <si>
    <t>v1.3.1: updated *A Australia fares</t>
  </si>
  <si>
    <t>15444-RTW RTW2 PAGE 21</t>
  </si>
  <si>
    <t xml:space="preserve">01 MAXIMUM PERMITTED MILEAGE FOR RTW 2 - 34000 </t>
  </si>
  <si>
    <t xml:space="preserve">05 ARGENTINA (USD) 9370 7480 3080 </t>
  </si>
  <si>
    <t xml:space="preserve">06 ARMENIA (USD) 8600 6150 3001 </t>
  </si>
  <si>
    <t xml:space="preserve">07 AUSTRALIA (AUD) 12899 9199 3399 </t>
  </si>
  <si>
    <t xml:space="preserve">08 AUSTRIA (EUR) 8399 5549 2749 </t>
  </si>
  <si>
    <t xml:space="preserve">52 LUXEMBOURG (EUR) 9899 6499 3249 </t>
  </si>
  <si>
    <t xml:space="preserve">53 MADAGASCAR (USD) 10171 8122 4471 </t>
  </si>
  <si>
    <t xml:space="preserve">54 MALAYSIA (MYR) 35480 24670 14010 </t>
  </si>
  <si>
    <t xml:space="preserve">55 MALTA (MTL) 3820 2537 1267 </t>
  </si>
  <si>
    <t xml:space="preserve">56 MARTINIQUE (EUR) 9099 6031 3171 </t>
  </si>
  <si>
    <t xml:space="preserve">57 MAURITIUS (MUR) 296295 236615 130240 </t>
  </si>
  <si>
    <t xml:space="preserve">58 MEXICO (USD) 11210 8910 4990 </t>
  </si>
  <si>
    <t xml:space="preserve">59 MOROCCO (MAD) 120845 96505 53125 </t>
  </si>
  <si>
    <t xml:space="preserve">60 NEPAL (USD) 9330 5721 3301 </t>
  </si>
  <si>
    <t xml:space="preserve">61 NETHERLANDS (EUR) 9899 6499 3249 </t>
  </si>
  <si>
    <t xml:space="preserve">62 NETH ANTILLES (USD) 10171 8122 4471 </t>
  </si>
  <si>
    <t xml:space="preserve">63 NEW CALEDONIA (XPF) 891700 724500 310400 </t>
  </si>
  <si>
    <t xml:space="preserve">64 NEW ZEALAND (NZD) 15759 11459 4499 </t>
  </si>
  <si>
    <t xml:space="preserve">65 NORWAY (NOK) 66220 43970 23660 </t>
  </si>
  <si>
    <t xml:space="preserve">66 PAKISTAN (PKR) 451360 335920 194480 </t>
  </si>
  <si>
    <t xml:space="preserve">67 PERU (USD) 10990 8780 3610 </t>
  </si>
  <si>
    <t xml:space="preserve">68 PHILIPPINES (USD) 8789 6529 3779 </t>
  </si>
  <si>
    <t xml:space="preserve">69 POLAND (PLN) 33110 22410 12370 </t>
  </si>
  <si>
    <t xml:space="preserve">70 POLYNESIA (XPF) 979400 753500 322900 </t>
  </si>
  <si>
    <t xml:space="preserve">71 PORTUGAL (EUR) 9899 6499 3249 </t>
  </si>
  <si>
    <t xml:space="preserve">72 REUNION (EUR) 9099 6031 3171 </t>
  </si>
  <si>
    <t xml:space="preserve">73 ROMANIA (EUR) 7099 4809 2659 </t>
  </si>
  <si>
    <t xml:space="preserve">74 RUSSIA (USD) 9626 6872 3523 </t>
  </si>
  <si>
    <t xml:space="preserve">75 SAMOA (WST) 23306 16847 7663 </t>
  </si>
  <si>
    <t xml:space="preserve">76 SAUDI ARABIA (SAR) 34560 25100 14040 </t>
  </si>
  <si>
    <t xml:space="preserve">77 SERBIA MONT (EUR) 7099 4809 2659 </t>
  </si>
  <si>
    <t xml:space="preserve">78 SEYCHELLES (SCR) 61815 49364 27172 </t>
  </si>
  <si>
    <t xml:space="preserve">79 SINGAPORE (SGD) 17140 11900 6420 </t>
  </si>
  <si>
    <t xml:space="preserve">80 SLOVAKIA (SKK) 406020 266950 133430 </t>
  </si>
  <si>
    <t xml:space="preserve">81 SLOVENIA (EUR) 7449 5049 2659 </t>
  </si>
  <si>
    <t xml:space="preserve">82 SOUTH AFRICA (ZAR) 61480 43800 23350 </t>
  </si>
  <si>
    <t xml:space="preserve">83 S. KOREA (KRW) 10380900 6962700 4112200 </t>
  </si>
  <si>
    <t>=OFFSET(SATemp!G$14,MATCH(SAData!$B6,SATemp!$C$10:$C$1239,0)-1,0)</t>
  </si>
  <si>
    <t>="(" &amp; OFFSET(SATemp!$E$13,MATCH(SAData!$B6,SATemp!$C$10:$C$1239,0)-4,-4) &amp; ")"</t>
  </si>
  <si>
    <t>v1.9.9: Big update of *A fares</t>
  </si>
  <si>
    <t xml:space="preserve">84 SPAIN (EUR) 9899 6499 3249 </t>
  </si>
  <si>
    <t xml:space="preserve">85 SRI LANKA (LKR) 899300 551400 318000 </t>
  </si>
  <si>
    <t xml:space="preserve">86 SWEDEN (SEK) 68940 45730 24500 </t>
  </si>
  <si>
    <t xml:space="preserve">87 SWITZERLAND (CHF) 14130 9470 4920 </t>
  </si>
  <si>
    <t xml:space="preserve">88 SYRIA (SYP) 434200 310000 158800 </t>
  </si>
  <si>
    <t xml:space="preserve">89 TAIWAN (TWD) 290600 207900 111500 </t>
  </si>
  <si>
    <t xml:space="preserve">90 THAILAND (THB) 344490 225890 128390 </t>
  </si>
  <si>
    <t xml:space="preserve">91 TONGA (TOP) 14360 11450 4560 </t>
  </si>
  <si>
    <t xml:space="preserve">92 TUNISIA (TND) 48444 34497 6434 </t>
  </si>
  <si>
    <t xml:space="preserve">93 TURKEY (USD) 8641 5853 3236 </t>
  </si>
  <si>
    <t xml:space="preserve">94 UAE (AED) 33900 24600 13700 </t>
  </si>
  <si>
    <t xml:space="preserve">95 UKRAINE (USD) 9626 6872 3526 </t>
  </si>
  <si>
    <t xml:space="preserve">96 USA (USD) 11210 8910 4990 </t>
  </si>
  <si>
    <t xml:space="preserve">97 VENEZUELA (USD) 10990 8780 3610 </t>
  </si>
  <si>
    <t>98 VIETNAM (USD) 8629 6399 3709</t>
  </si>
  <si>
    <t>ARGENTINA (USD)</t>
  </si>
  <si>
    <t>ARMENIA (USD)</t>
  </si>
  <si>
    <t>AUSTRALIA (AUD)</t>
  </si>
  <si>
    <t>AUSTRIA (EUR)</t>
  </si>
  <si>
    <t>AZERBAIJAN (USD)</t>
  </si>
  <si>
    <t>BAHAMAS (USD)</t>
  </si>
  <si>
    <t>BANGLADESH (USD)</t>
  </si>
  <si>
    <t>15444-RTW RTW1 PAGE 20</t>
  </si>
  <si>
    <t xml:space="preserve">01 MAXIMUM PERMITTED MILEAGE FOR RTW 1 - 39000 </t>
  </si>
  <si>
    <t xml:space="preserve">02 . </t>
  </si>
  <si>
    <t xml:space="preserve">03 TVL ORIGINATE IN: FIRST BUSINESS ECONOMY </t>
  </si>
  <si>
    <t>04 .......................................................</t>
  </si>
  <si>
    <t xml:space="preserve">05 ARGENTINA (USD) 10990 8780 3610 </t>
  </si>
  <si>
    <t xml:space="preserve">06 ARMENIA (USD) 10110 7220 3523 </t>
  </si>
  <si>
    <t xml:space="preserve">07 AUSTRALIA (AUD) 14499 10599 3999 </t>
  </si>
  <si>
    <t xml:space="preserve">08 AUSTRIA (EUR) 9899 6499 3249 </t>
  </si>
  <si>
    <t xml:space="preserve">09 AZERBAIJAN (USD) 10110 7220 3523 </t>
  </si>
  <si>
    <t xml:space="preserve">10 BAHAMAS (USD) 10418 8191 4488 </t>
  </si>
  <si>
    <t xml:space="preserve">11 BANGLADESH (USD) 9330 5721 3301 </t>
  </si>
  <si>
    <t xml:space="preserve">12 BELGIUM (EUR) 9899 6499 3249 </t>
  </si>
  <si>
    <t xml:space="preserve">13 BERMUDA (USD) 10418 8191 4488 </t>
  </si>
  <si>
    <t xml:space="preserve">14 BRAZIL (USD) 10990 8780 3610 </t>
  </si>
  <si>
    <t xml:space="preserve">15 BULGARIA (EUR) 7099 4809 2659 </t>
  </si>
  <si>
    <t xml:space="preserve">16 CANADA (CAD) 15129 10989 5799 </t>
  </si>
  <si>
    <t xml:space="preserve">17 CHILE (USD) 10990 8780 3610 </t>
  </si>
  <si>
    <t xml:space="preserve">18 CHINA (CNY) 79250 57510 32260 </t>
  </si>
  <si>
    <t xml:space="preserve">19 COLOMBIA (USD) 10990 8780 3610 </t>
  </si>
  <si>
    <t xml:space="preserve">20 COMOROS (USD) 10171 8122 4471 </t>
  </si>
  <si>
    <t xml:space="preserve">21 COSTA RICA (USD) 11211 8934 4961 </t>
  </si>
  <si>
    <t xml:space="preserve">22 CROATIA (EUR) 7099 4809 2659 </t>
  </si>
  <si>
    <t xml:space="preserve">23 CYPRUS (CYP) 5430 3610 1820 </t>
  </si>
  <si>
    <t xml:space="preserve">24 CZECH REP (CZK) 317600 208900 104200 </t>
  </si>
  <si>
    <t xml:space="preserve">25 DENMARK (DKK) 58320 38670 20810 </t>
  </si>
  <si>
    <t xml:space="preserve">26 DOMINICAN REP (USD) 10171 8122 4471 </t>
  </si>
  <si>
    <t xml:space="preserve">27 EGYPT (EGP) 63200 40000 21000 </t>
  </si>
  <si>
    <t xml:space="preserve">28 EL SALVADOR (USD) 11211 8934 4961 </t>
  </si>
  <si>
    <t xml:space="preserve">29 ESTONIA (EEK) 130000 92900 45200 </t>
  </si>
  <si>
    <t xml:space="preserve">30 FINLAND (EUR) 8410 5598 2971 </t>
  </si>
  <si>
    <t xml:space="preserve">31 FRANCE (EUR) 9899 6499 3249 </t>
  </si>
  <si>
    <t xml:space="preserve">32 FRENCH GUIANA (EUR) 9099 6031 3171 </t>
  </si>
  <si>
    <t xml:space="preserve">33 GERMANY (EUR) 9899 6499 3249 </t>
  </si>
  <si>
    <t xml:space="preserve">34 GREAT BRITAIN (GBP) 7599 4699 1799 </t>
  </si>
  <si>
    <t xml:space="preserve">35 GREECE (EUR) 9899 6499 3249 </t>
  </si>
  <si>
    <t xml:space="preserve">36 GUADELOUPE (EUR) 8749 5799 3049 </t>
  </si>
  <si>
    <t xml:space="preserve">37 GUATEMALA (USD) 11211 8934 4961 </t>
  </si>
  <si>
    <t xml:space="preserve">38 HONG KONG (HKD) 74790 54270 30370 </t>
  </si>
  <si>
    <t xml:space="preserve">39 HUNGARY (HUF) 2475400 1627600 813500 </t>
  </si>
  <si>
    <t xml:space="preserve">40 INDIA (INR) 425400 260900 150500 </t>
  </si>
  <si>
    <t xml:space="preserve">41 INDONESIA (USD) 8629 6399 3709 </t>
  </si>
  <si>
    <t xml:space="preserve">42 IRELAND (EUR) 9899 6499 3249 </t>
  </si>
  <si>
    <t xml:space="preserve">43 ISRAEL (USD) 9437 6737 3454 </t>
  </si>
  <si>
    <t xml:space="preserve">44 ITALY (EUR) 9899 6499 3249 </t>
  </si>
  <si>
    <t xml:space="preserve">45 JAMAICA (USD) 10418 8191 4488 </t>
  </si>
  <si>
    <t xml:space="preserve">46 JAPAN (JPY) 1170000 804000 452000 </t>
  </si>
  <si>
    <t xml:space="preserve">47 JORDAN (JOD) 6705 4788 2454 </t>
  </si>
  <si>
    <t xml:space="preserve">48 KUWAIT (KWD) 2789 2153 1124 </t>
  </si>
  <si>
    <t xml:space="preserve">49 LATVIA (LVL) 5499 3949 1913 </t>
  </si>
  <si>
    <t xml:space="preserve">50 LEBANON (USD) 9437 6737 3454 </t>
  </si>
  <si>
    <t xml:space="preserve">51 LITHUANIA (LTL) 28699 20469 9994 </t>
  </si>
  <si>
    <t>On each of the three worksheets, there are a number of yellow input cells at the top. These determine the currency to display as well as the criteria to sort by. Just choose the relevant values from the drop-down menus, and the table will update. If nothing happens, you've probably got the spreadsheet on Manual calculation, which you can change under Tools-&gt;Options, or you can force a manual recalculation by pressing F9.</t>
  </si>
  <si>
    <t>I put together this spreadsheet for personal use based on information found on FlyerTalk. All I have done is to take the fares provided by others on FT and put them together in this spreadsheet. The spreadsheet itself is a bit rough around the edges, but hopefully won't be too hard to understand.</t>
  </si>
  <si>
    <t>Links</t>
  </si>
  <si>
    <t>oneworld star files (with rules and fares)</t>
  </si>
  <si>
    <t>SkyTeam fares</t>
  </si>
  <si>
    <t>Thanks</t>
  </si>
  <si>
    <t>Contact Me</t>
  </si>
  <si>
    <t xml:space="preserve"> </t>
  </si>
  <si>
    <t>v1.9.8: Total update for oneworld fares</t>
  </si>
  <si>
    <t>For any comments, suggestions or criticism please send me a private message on FlyerTalk or an email at wbt@qsi.cc</t>
  </si>
  <si>
    <t>The data in this spreadsheet come from various FlyerTalk fora. I'll try to keep it updated as new information becomes available, and I'll also update the exchange rate data semi-regularly. Below are the links to the original posts/threads from which I have culled the data. The SkyTeam data is incomplete, but I'll update the spreadsheet if it becomes available. The FlyerTalk fora contain a wealth of information on RTW trips, rules and suggestions.</t>
  </si>
  <si>
    <t>and of course FlyerTalk itself!</t>
  </si>
  <si>
    <t>spotwelder's oneworld pricing in GBP</t>
  </si>
  <si>
    <t>Welcome to WearyBizTrvlr's RTW Fares spreadsheet</t>
  </si>
  <si>
    <t>Update:</t>
  </si>
  <si>
    <t>Qantas RTW Fare Web Site</t>
  </si>
  <si>
    <t>Changes</t>
  </si>
  <si>
    <t>v1.1: updated oneworld DONEx prices ex-AU, updated Star Alliance prices ex-JP, updated all exchange rates as of 05-Nov-2004</t>
  </si>
  <si>
    <t>PLN</t>
  </si>
  <si>
    <t>(PLN)</t>
  </si>
  <si>
    <t>v1.2: fixed a bug in the Star Alliance sheet in the comparison cell, updated exchange rates, added prices for Poland and Argentina for Star Alliance</t>
  </si>
  <si>
    <t>v1.2a: fixed Poland *A prices, removed Bloomberg link</t>
  </si>
  <si>
    <t>v1.2b: updated Turkey, Australia, Singapore and Thailand prices for *A.</t>
  </si>
  <si>
    <t>Netherlands</t>
  </si>
  <si>
    <t>Norway</t>
  </si>
  <si>
    <t>Poland</t>
  </si>
  <si>
    <t>Portugal</t>
  </si>
  <si>
    <t>Romania</t>
  </si>
  <si>
    <t>Russia</t>
  </si>
  <si>
    <t>Spain</t>
  </si>
  <si>
    <t>Sweden</t>
  </si>
  <si>
    <t>Switzerland</t>
  </si>
  <si>
    <t>Tunisia</t>
  </si>
  <si>
    <t>Turkey</t>
  </si>
  <si>
    <t>Ukraine</t>
  </si>
  <si>
    <t>United Kingdom</t>
  </si>
  <si>
    <t>Bahrain</t>
  </si>
  <si>
    <t>Egypt</t>
  </si>
  <si>
    <t>Iran</t>
  </si>
  <si>
    <t>Israel</t>
  </si>
  <si>
    <t>Jordan</t>
  </si>
  <si>
    <t>Kuwait</t>
  </si>
  <si>
    <t>Lebanon</t>
  </si>
  <si>
    <t>Oman</t>
  </si>
  <si>
    <t>Qatar</t>
  </si>
  <si>
    <t>Saudi Arabia</t>
  </si>
  <si>
    <t>Syria</t>
  </si>
  <si>
    <t>United Arab Emirates</t>
  </si>
  <si>
    <t>Australia</t>
  </si>
  <si>
    <t>New Zealand</t>
  </si>
  <si>
    <t>Canada</t>
  </si>
  <si>
    <t>South America</t>
  </si>
  <si>
    <t>Maximum Difference</t>
  </si>
  <si>
    <t>Maximum Permitted M</t>
  </si>
  <si>
    <t>ileage For</t>
  </si>
  <si>
    <t>ALBANIA</t>
  </si>
  <si>
    <t>KRYGYZSTAN</t>
  </si>
  <si>
    <t>SYRIAN ARAB REPUBLIC</t>
  </si>
  <si>
    <t xml:space="preserve">   </t>
  </si>
  <si>
    <t>4179R</t>
  </si>
  <si>
    <t>14419R</t>
  </si>
  <si>
    <t>16619R</t>
  </si>
  <si>
    <t>18619R</t>
  </si>
  <si>
    <t>10629R</t>
  </si>
  <si>
    <t>12069R</t>
  </si>
  <si>
    <t>13699R</t>
  </si>
  <si>
    <t>4509R</t>
  </si>
  <si>
    <t>5129R</t>
  </si>
  <si>
    <t>306550R</t>
  </si>
  <si>
    <t>352350R</t>
  </si>
  <si>
    <t>413660R</t>
  </si>
  <si>
    <t>201150R</t>
  </si>
  <si>
    <t>231440R</t>
  </si>
  <si>
    <t>271560R</t>
  </si>
  <si>
    <t>100930R</t>
  </si>
  <si>
    <t>116080R</t>
  </si>
  <si>
    <t>136260R</t>
  </si>
  <si>
    <t>64310R</t>
  </si>
  <si>
    <t>73960R</t>
  </si>
  <si>
    <t>86840R</t>
  </si>
  <si>
    <t>41520R</t>
  </si>
  <si>
    <t>47730R</t>
  </si>
  <si>
    <t>56030R</t>
  </si>
  <si>
    <t>23460R</t>
  </si>
  <si>
    <t>27540R</t>
  </si>
  <si>
    <t>10400R</t>
  </si>
  <si>
    <t>11900R</t>
  </si>
  <si>
    <t>14000R</t>
  </si>
  <si>
    <t>7650R</t>
  </si>
  <si>
    <t>3950R</t>
  </si>
  <si>
    <t>5350R</t>
  </si>
  <si>
    <t>1409R</t>
  </si>
  <si>
    <t>1739R</t>
  </si>
  <si>
    <t>1959R</t>
  </si>
  <si>
    <t>10599R</t>
  </si>
  <si>
    <t>9509R</t>
  </si>
  <si>
    <t>11919R</t>
  </si>
  <si>
    <t>13399R</t>
  </si>
  <si>
    <t>14389R</t>
  </si>
  <si>
    <t>15379R</t>
  </si>
  <si>
    <t>3069R</t>
  </si>
  <si>
    <t>8870R</t>
  </si>
  <si>
    <t>7710R</t>
  </si>
  <si>
    <t>6740R</t>
  </si>
  <si>
    <t>5740R</t>
  </si>
  <si>
    <t>5000R</t>
  </si>
  <si>
    <t>3240R</t>
  </si>
  <si>
    <t>2760R</t>
  </si>
  <si>
    <t>2210R</t>
  </si>
  <si>
    <t>1770R</t>
  </si>
  <si>
    <t>10500R</t>
  </si>
  <si>
    <t>13599R</t>
  </si>
  <si>
    <t>15649R</t>
  </si>
  <si>
    <t>18399R</t>
  </si>
  <si>
    <t>9599R</t>
  </si>
  <si>
    <t>11549R</t>
  </si>
  <si>
    <t>1590R</t>
  </si>
  <si>
    <t>1830R</t>
  </si>
  <si>
    <t>2150R</t>
  </si>
  <si>
    <t>3480R</t>
  </si>
  <si>
    <t>4010R</t>
  </si>
  <si>
    <t>4700R</t>
  </si>
  <si>
    <t>5010R</t>
  </si>
  <si>
    <t>5770R</t>
  </si>
  <si>
    <t>6770R</t>
  </si>
  <si>
    <t>260300R</t>
  </si>
  <si>
    <t>299200R</t>
  </si>
  <si>
    <t>351300R</t>
  </si>
  <si>
    <t>516700R</t>
  </si>
  <si>
    <t>594900R</t>
  </si>
  <si>
    <t>687800R</t>
  </si>
  <si>
    <t>882700R</t>
  </si>
  <si>
    <t>1015300R</t>
  </si>
  <si>
    <t>1191600R</t>
  </si>
  <si>
    <t>11370R</t>
  </si>
  <si>
    <t>13290R</t>
  </si>
  <si>
    <t>8950R</t>
  </si>
  <si>
    <t>10299R</t>
  </si>
  <si>
    <t>11639R</t>
  </si>
  <si>
    <t>3799R</t>
  </si>
  <si>
    <t>4369R</t>
  </si>
  <si>
    <t>11739R</t>
  </si>
  <si>
    <t>13500R</t>
  </si>
  <si>
    <t>15529R</t>
  </si>
  <si>
    <t>16199R</t>
  </si>
  <si>
    <t>18629R</t>
  </si>
  <si>
    <t>21429R</t>
  </si>
  <si>
    <t>5409R</t>
  </si>
  <si>
    <t>6109R</t>
  </si>
  <si>
    <t>95400R</t>
  </si>
  <si>
    <t>109700R</t>
  </si>
  <si>
    <t>128700R</t>
  </si>
  <si>
    <t>185800R</t>
  </si>
  <si>
    <t>213700R</t>
  </si>
  <si>
    <t>250900R</t>
  </si>
  <si>
    <t>263300R</t>
  </si>
  <si>
    <t>302700R</t>
  </si>
  <si>
    <t>355400R</t>
  </si>
  <si>
    <t>3319R</t>
  </si>
  <si>
    <t>3899R</t>
  </si>
  <si>
    <t>6239R</t>
  </si>
  <si>
    <t>7329R</t>
  </si>
  <si>
    <t>7479R</t>
  </si>
  <si>
    <t>8639R</t>
  </si>
  <si>
    <t>10159R</t>
  </si>
  <si>
    <t>5800R</t>
  </si>
  <si>
    <t>6700R</t>
  </si>
  <si>
    <t>14300R</t>
  </si>
  <si>
    <t>15600R</t>
  </si>
  <si>
    <t>21100R</t>
  </si>
  <si>
    <t>v1.9.7: Total update for oneworld fares, and most of the *A fares have been updated as well</t>
  </si>
  <si>
    <t>Rtw 1 - 39000</t>
  </si>
  <si>
    <t>.</t>
  </si>
  <si>
    <t>Fare Per Passenger</t>
  </si>
  <si>
    <t>Is Specifi</t>
  </si>
  <si>
    <t>ed Below:</t>
  </si>
  <si>
    <t>For Travel</t>
  </si>
  <si>
    <t>Originating In:</t>
  </si>
  <si>
    <t>Rtw1</t>
  </si>
  <si>
    <t>...................</t>
  </si>
  <si>
    <t>..........</t>
  </si>
  <si>
    <t>..............</t>
  </si>
  <si>
    <t>............</t>
  </si>
  <si>
    <t>F</t>
  </si>
  <si>
    <t>Y</t>
  </si>
  <si>
    <t>XPF</t>
  </si>
  <si>
    <t>SKK</t>
  </si>
  <si>
    <t>TOP</t>
  </si>
  <si>
    <t>WST</t>
  </si>
  <si>
    <t>FJD</t>
  </si>
  <si>
    <t>RWSTAR1</t>
  </si>
  <si>
    <t>RWSTAR2</t>
  </si>
  <si>
    <t>RWSTAR3</t>
  </si>
  <si>
    <t>(EGP)</t>
  </si>
  <si>
    <t>RWSTAR1:</t>
  </si>
  <si>
    <t>RWSTAR2:</t>
  </si>
  <si>
    <t>RWSTAR3:</t>
  </si>
  <si>
    <t>Tonga</t>
  </si>
  <si>
    <t>(TOP)</t>
  </si>
  <si>
    <t>Fiji</t>
  </si>
  <si>
    <t>(FJD)</t>
  </si>
  <si>
    <t>(THB)</t>
  </si>
  <si>
    <t>(TWD)</t>
  </si>
  <si>
    <t>(USD)</t>
  </si>
  <si>
    <t>(KRW)</t>
  </si>
  <si>
    <t>(LKR)</t>
  </si>
  <si>
    <t>(MYR)</t>
  </si>
  <si>
    <t>(INR)</t>
  </si>
  <si>
    <t>(SEK)</t>
  </si>
  <si>
    <t>(CNY)</t>
  </si>
  <si>
    <t>(HKD)</t>
  </si>
  <si>
    <t>(DKK)</t>
  </si>
  <si>
    <t>(LVL)</t>
  </si>
  <si>
    <t>(SGD)</t>
  </si>
  <si>
    <t>(ZAR)</t>
  </si>
  <si>
    <t>(NZD)</t>
  </si>
  <si>
    <t>(JPY)</t>
  </si>
  <si>
    <t>(AUD)</t>
  </si>
  <si>
    <t>USA</t>
  </si>
  <si>
    <t>(CHF)</t>
  </si>
  <si>
    <t>(CAD)</t>
  </si>
  <si>
    <t>Euro-Area</t>
  </si>
  <si>
    <t>(EUR)</t>
  </si>
  <si>
    <t>Great Britain</t>
  </si>
  <si>
    <t>(GBP)</t>
  </si>
  <si>
    <t>C</t>
  </si>
  <si>
    <t>Miles</t>
  </si>
  <si>
    <t>Star Alliance RTW Fares</t>
  </si>
  <si>
    <t>FRWSTAR1</t>
  </si>
  <si>
    <t>FRWSTAR2</t>
  </si>
  <si>
    <t>FRWSTAR3</t>
  </si>
  <si>
    <t>CRWSTAR1</t>
  </si>
  <si>
    <t>CRWSTAR2</t>
  </si>
  <si>
    <t>CRWSTAR3</t>
  </si>
  <si>
    <t>YRWSTAR1</t>
  </si>
  <si>
    <t>YRWSTAR2</t>
  </si>
  <si>
    <t>YRWSTAR3</t>
  </si>
  <si>
    <t>oneworld RTW Fares</t>
  </si>
  <si>
    <t>SkyTeam RTW Fares</t>
  </si>
  <si>
    <t>Nepal</t>
  </si>
  <si>
    <t>Vietnam</t>
  </si>
  <si>
    <t>Slovenia</t>
  </si>
  <si>
    <t>S. Korea</t>
  </si>
  <si>
    <t>Uae</t>
  </si>
  <si>
    <t>Comoros</t>
  </si>
  <si>
    <t>Dominican Rep</t>
  </si>
  <si>
    <t>Madagascar</t>
  </si>
  <si>
    <t>Neth Antilles</t>
  </si>
  <si>
    <t>Mexico</t>
  </si>
  <si>
    <t>Bahamas</t>
  </si>
  <si>
    <t>Bermuda</t>
  </si>
  <si>
    <t>Jamaica</t>
  </si>
  <si>
    <t>Peru</t>
  </si>
  <si>
    <t>Argentina</t>
  </si>
  <si>
    <t>Brazil</t>
  </si>
  <si>
    <t>Chile</t>
  </si>
  <si>
    <t>Colombia</t>
  </si>
  <si>
    <t>Costa Rica</t>
  </si>
  <si>
    <t>El Salvador</t>
  </si>
  <si>
    <t>Guatemala</t>
  </si>
  <si>
    <t>Venezuela</t>
  </si>
  <si>
    <t>French Guiana</t>
  </si>
  <si>
    <t>Guadeloupe</t>
  </si>
  <si>
    <t>Martinique</t>
  </si>
  <si>
    <t>Reunion</t>
  </si>
  <si>
    <t>Czech Rep</t>
  </si>
  <si>
    <t>New Caledonia</t>
  </si>
  <si>
    <t>Polynesia</t>
  </si>
  <si>
    <t>Samoa</t>
  </si>
  <si>
    <t>Slovakia</t>
  </si>
  <si>
    <t>How it works</t>
  </si>
  <si>
    <t>USD</t>
  </si>
  <si>
    <t>GHANA</t>
  </si>
  <si>
    <t>KENYA</t>
  </si>
  <si>
    <t>MUR</t>
  </si>
  <si>
    <t>NAD</t>
  </si>
  <si>
    <t>SCR</t>
  </si>
  <si>
    <t>ZAR</t>
  </si>
  <si>
    <t>ZIMBABWE</t>
  </si>
  <si>
    <t>INDONESIA</t>
  </si>
  <si>
    <t>PAKISTAN</t>
  </si>
  <si>
    <t>TAIWAN</t>
  </si>
  <si>
    <t>JAPAN</t>
  </si>
  <si>
    <t>PHILIPPINES</t>
  </si>
  <si>
    <t>KOREA</t>
  </si>
  <si>
    <t>SINGAPORE</t>
  </si>
  <si>
    <t>MALAYSIA</t>
  </si>
  <si>
    <t>BANGLADESH</t>
  </si>
  <si>
    <t>CHINA</t>
  </si>
  <si>
    <t>CNY</t>
  </si>
  <si>
    <t>HKD</t>
  </si>
  <si>
    <t>INDIA</t>
  </si>
  <si>
    <t>INR</t>
  </si>
  <si>
    <t>JPY</t>
  </si>
  <si>
    <t>KRW</t>
  </si>
  <si>
    <t>MYR</t>
  </si>
  <si>
    <t>PKR</t>
  </si>
  <si>
    <t>SGD</t>
  </si>
  <si>
    <t>LKR</t>
  </si>
  <si>
    <t>TWD</t>
  </si>
  <si>
    <t>THAILAND</t>
  </si>
  <si>
    <t>THB</t>
  </si>
  <si>
    <t>DENMARK</t>
  </si>
  <si>
    <t>HUNGARY</t>
  </si>
  <si>
    <t>NORWAY</t>
  </si>
  <si>
    <t>ESTONIA</t>
  </si>
  <si>
    <t>IRELAND</t>
  </si>
  <si>
    <t>POLAND</t>
  </si>
  <si>
    <t>FINLAND</t>
  </si>
  <si>
    <t>ITALY</t>
  </si>
  <si>
    <t>PORTUGAL</t>
  </si>
  <si>
    <t>FRANCE</t>
  </si>
  <si>
    <t>LATVIA</t>
  </si>
  <si>
    <t>ROMANIA</t>
  </si>
  <si>
    <t>GEORGIA</t>
  </si>
  <si>
    <t>LUXEMBOURG</t>
  </si>
  <si>
    <t>RUSSIA</t>
  </si>
  <si>
    <t>GERMANY</t>
  </si>
  <si>
    <t>MALTA</t>
  </si>
  <si>
    <t>SPAIN</t>
  </si>
  <si>
    <t>GIBRALTAR</t>
  </si>
  <si>
    <t>MOROCCO</t>
  </si>
  <si>
    <t>SWEDEN</t>
  </si>
  <si>
    <t>GREECE</t>
  </si>
  <si>
    <t>NETHERLANDS</t>
  </si>
  <si>
    <t>SWITZERLAND</t>
  </si>
  <si>
    <t>ARMENIA</t>
  </si>
  <si>
    <t>AUSTRIA</t>
  </si>
  <si>
    <t>EUR</t>
  </si>
  <si>
    <t>AZERBAIJAN</t>
  </si>
  <si>
    <t>BELGIUM</t>
  </si>
  <si>
    <t>BULGARIA</t>
  </si>
  <si>
    <t>CROATIA</t>
  </si>
  <si>
    <t>CYPRUS</t>
  </si>
  <si>
    <t>CYP</t>
  </si>
  <si>
    <t>CZK</t>
  </si>
  <si>
    <t>DKK</t>
  </si>
  <si>
    <t>EEK</t>
  </si>
  <si>
    <t>GIP</t>
  </si>
  <si>
    <t>HUF</t>
  </si>
  <si>
    <t>LVL</t>
  </si>
  <si>
    <t>MTL</t>
  </si>
  <si>
    <t>MAD</t>
  </si>
  <si>
    <t>NOK</t>
  </si>
  <si>
    <t>SEK</t>
  </si>
  <si>
    <t>CHF</t>
  </si>
  <si>
    <t>TUNISIA</t>
  </si>
  <si>
    <t>TND</t>
  </si>
  <si>
    <t>TURKEY</t>
  </si>
  <si>
    <t>UKRAINE</t>
  </si>
  <si>
    <t>GBP</t>
  </si>
  <si>
    <t>YUGOSLAVIA</t>
  </si>
  <si>
    <t>ISRAEL</t>
  </si>
  <si>
    <t>LEBANON</t>
  </si>
  <si>
    <t>JORDAN</t>
  </si>
  <si>
    <t>OMAN</t>
  </si>
  <si>
    <t>SYRIA</t>
  </si>
  <si>
    <t>KUWAIT</t>
  </si>
  <si>
    <t>QATAR</t>
  </si>
  <si>
    <t>BAHRAIN</t>
  </si>
  <si>
    <t>BHD</t>
  </si>
  <si>
    <t>EGYPT</t>
  </si>
  <si>
    <t>EGP</t>
  </si>
  <si>
    <t>IRAN</t>
  </si>
  <si>
    <t>IRR</t>
  </si>
  <si>
    <t>JOD</t>
  </si>
  <si>
    <t>KWD</t>
  </si>
  <si>
    <t>OMR</t>
  </si>
  <si>
    <t>QAR</t>
  </si>
  <si>
    <t>SAR</t>
  </si>
  <si>
    <t>SYP</t>
  </si>
  <si>
    <t>AED</t>
  </si>
  <si>
    <t>AUSTRALIA</t>
  </si>
  <si>
    <t>AUD</t>
  </si>
  <si>
    <t>NZD</t>
  </si>
  <si>
    <t>CANADA</t>
  </si>
  <si>
    <t>CAD</t>
  </si>
  <si>
    <t>SOUTH AFRICA</t>
  </si>
  <si>
    <t>HONG KONG</t>
  </si>
  <si>
    <t>SRI LANKA</t>
  </si>
  <si>
    <t>CZECH REPUBLIC</t>
  </si>
  <si>
    <t>UNITED KINGDOM</t>
  </si>
  <si>
    <t>SAUDI ARABIA</t>
  </si>
  <si>
    <t>NEW ZEALAND</t>
  </si>
  <si>
    <t>SOUTH AMERICA</t>
  </si>
  <si>
    <t>UNITED ARAB EMIRATES</t>
  </si>
  <si>
    <t>USA &amp; CENTRAL AMERICA</t>
  </si>
  <si>
    <t>A</t>
  </si>
  <si>
    <t>D</t>
  </si>
  <si>
    <t>L</t>
  </si>
  <si>
    <t>Currency</t>
  </si>
  <si>
    <t>display currency</t>
  </si>
  <si>
    <t>Class</t>
  </si>
  <si>
    <t>Continents</t>
  </si>
  <si>
    <t>First</t>
  </si>
  <si>
    <t>Business</t>
  </si>
  <si>
    <t>Economy</t>
  </si>
  <si>
    <t>Compare to</t>
  </si>
  <si>
    <t>Djibouti</t>
  </si>
  <si>
    <t>Eritrea</t>
  </si>
  <si>
    <t>Ghana</t>
  </si>
  <si>
    <t>Kenya</t>
  </si>
  <si>
    <t>Mauritius</t>
  </si>
  <si>
    <t>Namibia</t>
  </si>
  <si>
    <t>Nigeria</t>
  </si>
  <si>
    <t>Seychelles</t>
  </si>
  <si>
    <t>South Africa</t>
  </si>
  <si>
    <t>Tanzania</t>
  </si>
  <si>
    <t>Uganda</t>
  </si>
  <si>
    <t>Zambia</t>
  </si>
  <si>
    <t>Zimbabwe</t>
  </si>
  <si>
    <t>Bangladesh</t>
  </si>
  <si>
    <t>China</t>
  </si>
  <si>
    <t>Hong Kong</t>
  </si>
  <si>
    <t>India</t>
  </si>
  <si>
    <t>Indonesia</t>
  </si>
  <si>
    <t>Japan</t>
  </si>
  <si>
    <t>Korea</t>
  </si>
  <si>
    <t>Malaysia</t>
  </si>
  <si>
    <t>Pakistan</t>
  </si>
  <si>
    <t>Philippines</t>
  </si>
  <si>
    <t>Singapore</t>
  </si>
  <si>
    <t>Sri Lanka</t>
  </si>
  <si>
    <t>Taiwan</t>
  </si>
  <si>
    <t>Thailand</t>
  </si>
  <si>
    <t>Armenia</t>
  </si>
  <si>
    <t>Austria</t>
  </si>
  <si>
    <t>Azerbaijan</t>
  </si>
  <si>
    <t>Belgium</t>
  </si>
  <si>
    <t>Bulgaria</t>
  </si>
  <si>
    <t>Croatia</t>
  </si>
  <si>
    <t>Cyprus</t>
  </si>
  <si>
    <t>Czech Republic</t>
  </si>
  <si>
    <t>Denmark</t>
  </si>
  <si>
    <t>Estonia</t>
  </si>
  <si>
    <t>Finland</t>
  </si>
  <si>
    <t>France</t>
  </si>
  <si>
    <t>Georgia</t>
  </si>
  <si>
    <t>Germany</t>
  </si>
  <si>
    <t>Gibraltar</t>
  </si>
  <si>
    <t>Greece</t>
  </si>
  <si>
    <t>Hungary</t>
  </si>
  <si>
    <t>Ireland</t>
  </si>
  <si>
    <t>Italy</t>
  </si>
  <si>
    <t>Latvia</t>
  </si>
  <si>
    <t>Luxembourg</t>
  </si>
  <si>
    <t>Malta</t>
  </si>
  <si>
    <t>Morocco</t>
  </si>
  <si>
    <t>the</t>
  </si>
  <si>
    <t>‡$DSINSIN15MAR-RTW</t>
  </si>
  <si>
    <t>SIN-SIN</t>
  </si>
  <si>
    <t>2900R</t>
  </si>
  <si>
    <t>3300R</t>
  </si>
  <si>
    <t>4330R</t>
  </si>
  <si>
    <t>4760R</t>
  </si>
  <si>
    <t>4900R</t>
  </si>
  <si>
    <t>5470R</t>
  </si>
  <si>
    <t>5600R</t>
  </si>
  <si>
    <t>6420R</t>
  </si>
  <si>
    <t>6900R</t>
  </si>
  <si>
    <t>7900R</t>
  </si>
  <si>
    <t>9260R</t>
  </si>
  <si>
    <t>10650R</t>
  </si>
  <si>
    <t>12500R</t>
  </si>
  <si>
    <t>13330R</t>
  </si>
  <si>
    <t>15330R</t>
  </si>
  <si>
    <t>18000R</t>
  </si>
  <si>
    <t>1SGD</t>
  </si>
  <si>
    <t>‡$DAMSAMS15MAR-RTW</t>
  </si>
  <si>
    <t>AMS-AMS</t>
  </si>
  <si>
    <t>1EUR</t>
  </si>
  <si>
    <t>‡$DNRTNRT155MAR-RTW</t>
  </si>
  <si>
    <t>TYO-TYO</t>
  </si>
  <si>
    <t>240000R</t>
  </si>
  <si>
    <t>280000R</t>
  </si>
  <si>
    <t>335000R</t>
  </si>
  <si>
    <t>385000R</t>
  </si>
  <si>
    <t>ANGOLA</t>
  </si>
  <si>
    <t>AUSTRALIA BASIC</t>
  </si>
  <si>
    <t>AUSTRALIA PEAK</t>
  </si>
  <si>
    <t>ETHIOPIA</t>
  </si>
  <si>
    <t>IRELAND BASIC</t>
  </si>
  <si>
    <t>IRELAND PEAK</t>
  </si>
  <si>
    <t>LITHUANIA</t>
  </si>
  <si>
    <t>NEW ZEALAND BASIC</t>
  </si>
  <si>
    <t>NEW ZEALAND PEAK</t>
  </si>
  <si>
    <t>NORTH AMERICA</t>
  </si>
  <si>
    <t>SERBIA-MONTENEGRO</t>
  </si>
  <si>
    <t>UNITED KINGDOM BASIC</t>
  </si>
  <si>
    <t>UNITED KINGDOM PEAK</t>
  </si>
  <si>
    <t>kanebear's April 2006 star file and fare update</t>
  </si>
  <si>
    <t>v1.9.6: thanks to another great effort by kanebear, all oneworld fare levels have been updated</t>
  </si>
  <si>
    <t>420000R</t>
  </si>
  <si>
    <t>452000R</t>
  </si>
  <si>
    <t>490000R</t>
  </si>
  <si>
    <t>600000R</t>
  </si>
  <si>
    <t>625000R</t>
  </si>
  <si>
    <t>690000R</t>
  </si>
  <si>
    <t>719000R</t>
  </si>
  <si>
    <t>844000R</t>
  </si>
  <si>
    <t>910000R</t>
  </si>
  <si>
    <t>1047000R</t>
  </si>
  <si>
    <t>1229000R</t>
  </si>
  <si>
    <t>1JPY</t>
  </si>
  <si>
    <t>‡$DAKLAKL155MAR</t>
  </si>
  <si>
    <t>AKL-AKL</t>
  </si>
  <si>
    <t>YLRWSPCL</t>
  </si>
  <si>
    <t>YHRWSPCL</t>
  </si>
  <si>
    <t>1NZD</t>
  </si>
  <si>
    <t>‡$DLONLON15MAR</t>
  </si>
  <si>
    <t>LON-LON</t>
  </si>
  <si>
    <t>YFRWESC</t>
  </si>
  <si>
    <t>YJRWESC</t>
  </si>
  <si>
    <t>YKRWESC</t>
  </si>
  <si>
    <t>YRWSQVS</t>
  </si>
  <si>
    <t>TD:SQ/VS</t>
  </si>
  <si>
    <t>YRW</t>
  </si>
  <si>
    <t>TD:SQ/CO</t>
  </si>
  <si>
    <t>TD:SQ/LA</t>
  </si>
  <si>
    <t>CRW</t>
  </si>
  <si>
    <t>CRWSQVS</t>
  </si>
  <si>
    <t>FRW</t>
  </si>
  <si>
    <t>27X</t>
  </si>
  <si>
    <t>28X</t>
  </si>
  <si>
    <t>1GBP</t>
  </si>
  <si>
    <t>‡$DYVRYVR15MAR-RTW</t>
  </si>
  <si>
    <t>YVR-YVR</t>
  </si>
  <si>
    <t>2XLH</t>
  </si>
  <si>
    <t>1CAD</t>
  </si>
  <si>
    <t>‡$DSEASEA15MAR-RTW</t>
  </si>
  <si>
    <t>SEA-SEA</t>
  </si>
  <si>
    <t>‡$DSYDSYD155MAR-RTW</t>
  </si>
  <si>
    <t>SYD-SYD</t>
  </si>
  <si>
    <t>1AUD</t>
  </si>
  <si>
    <t>‡$DEZEEZE15MAR-RTW</t>
  </si>
  <si>
    <t>BUE-BUE</t>
  </si>
  <si>
    <t>Another</t>
  </si>
  <si>
    <t>Apia</t>
  </si>
  <si>
    <t>‡$DAPWAPW155MAR</t>
  </si>
  <si>
    <t>APW-APW</t>
  </si>
  <si>
    <t>1WST</t>
  </si>
  <si>
    <t>(BSR</t>
  </si>
  <si>
    <t>AVAILABLE</t>
  </si>
  <si>
    <t>-</t>
  </si>
  <si>
    <t>USED)</t>
  </si>
  <si>
    <t>UAE</t>
  </si>
  <si>
    <t>OLD DATA v1.5:</t>
  </si>
  <si>
    <t>v1.6: total update of Star Alliance fares. You can see the raw data on the hidden SATemp sheet, which also includes some other RTW fares. These fares were accurate as of 15 Feb 2005.</t>
  </si>
  <si>
    <t>EUR Curncy</t>
  </si>
  <si>
    <t>Px Last</t>
  </si>
  <si>
    <t>DJF Curncy</t>
  </si>
  <si>
    <t>USD Curncy</t>
  </si>
  <si>
    <t>MUR Curncy</t>
  </si>
  <si>
    <t>NAD Curncy</t>
  </si>
  <si>
    <t>SCR Curncy</t>
  </si>
  <si>
    <t>ZAR Curncy</t>
  </si>
  <si>
    <t>CNY Curncy</t>
  </si>
  <si>
    <t>HKD Curncy</t>
  </si>
  <si>
    <t>INR Curncy</t>
  </si>
  <si>
    <t>JPY Curncy</t>
  </si>
  <si>
    <t>KRW Curncy</t>
  </si>
  <si>
    <t>MYR Curncy</t>
  </si>
  <si>
    <t>PKR Curncy</t>
  </si>
  <si>
    <t>SGD Curncy</t>
  </si>
  <si>
    <t>LKR Curncy</t>
  </si>
  <si>
    <t>TWD Curncy</t>
  </si>
  <si>
    <t>THB Curncy</t>
  </si>
  <si>
    <t>CYP Curncy</t>
  </si>
  <si>
    <t>CZK Curncy</t>
  </si>
  <si>
    <t>DKK Curncy</t>
  </si>
  <si>
    <t>EEK Curncy</t>
  </si>
  <si>
    <t>GIP Curncy</t>
  </si>
  <si>
    <t>HUF Curncy</t>
  </si>
  <si>
    <t>LVL Curncy</t>
  </si>
  <si>
    <t>MTL Curncy</t>
  </si>
  <si>
    <t>MAD Curncy</t>
  </si>
  <si>
    <t>NOK Curncy</t>
  </si>
  <si>
    <t>SEK Curncy</t>
  </si>
  <si>
    <t>CHF Curncy</t>
  </si>
  <si>
    <t>TND Curncy</t>
  </si>
  <si>
    <t>GBP Curncy</t>
  </si>
  <si>
    <t>BHD Curncy</t>
  </si>
  <si>
    <t>EGP Curncy</t>
  </si>
  <si>
    <t>IRR Curncy</t>
  </si>
  <si>
    <t>JOD Curncy</t>
  </si>
  <si>
    <t>KWD Curncy</t>
  </si>
  <si>
    <t>OMR Curncy</t>
  </si>
  <si>
    <t>QAR Curncy</t>
  </si>
  <si>
    <t>SAR Curncy</t>
  </si>
  <si>
    <t>SYP Curncy</t>
  </si>
  <si>
    <t>AED Curncy</t>
  </si>
  <si>
    <t>AUD Curncy</t>
  </si>
  <si>
    <t>NZD Curncy</t>
  </si>
  <si>
    <t>CAD Curncy</t>
  </si>
  <si>
    <t>MALAWI</t>
  </si>
  <si>
    <t>SEYCHELLES</t>
  </si>
  <si>
    <t>ZAMBIA</t>
  </si>
  <si>
    <t>MAURITIUS</t>
  </si>
  <si>
    <t>NAMIBIA</t>
  </si>
  <si>
    <t>TANZANIA</t>
  </si>
  <si>
    <t>NIGERIA</t>
  </si>
  <si>
    <t>UGANDA</t>
  </si>
  <si>
    <t>DJIBOUTI</t>
  </si>
  <si>
    <t>DJF</t>
  </si>
  <si>
    <t>ERITREA</t>
  </si>
  <si>
    <t>218300R</t>
  </si>
  <si>
    <t>226000R</t>
  </si>
  <si>
    <t>259900R</t>
  </si>
  <si>
    <t>305100R</t>
  </si>
  <si>
    <t>‡$DSELSEL155MAR-RTW</t>
  </si>
  <si>
    <t>SEL-SEL</t>
  </si>
  <si>
    <t>2200000R</t>
  </si>
  <si>
    <t>2510000R</t>
  </si>
  <si>
    <t>2747600R</t>
  </si>
  <si>
    <t>3046100R</t>
  </si>
  <si>
    <t>3503000R</t>
  </si>
  <si>
    <t>4070000R</t>
  </si>
  <si>
    <t>4112200R</t>
  </si>
  <si>
    <t>4710000R</t>
  </si>
  <si>
    <t>5415400R</t>
  </si>
  <si>
    <t>5810000R</t>
  </si>
  <si>
    <t>6227800R</t>
  </si>
  <si>
    <t>6710000R</t>
  </si>
  <si>
    <t>7310900R</t>
  </si>
  <si>
    <t>8074000R</t>
  </si>
  <si>
    <t>9285200R</t>
  </si>
  <si>
    <t>10900000R</t>
  </si>
  <si>
    <t>1KRW</t>
  </si>
  <si>
    <t>‡$DCPHCPH155MAR-RTW</t>
  </si>
  <si>
    <t>CPH-CPH</t>
  </si>
  <si>
    <t>12830R</t>
  </si>
  <si>
    <t>15420R</t>
  </si>
  <si>
    <t>17730R</t>
  </si>
  <si>
    <t>20810R</t>
  </si>
  <si>
    <t>30640R</t>
  </si>
  <si>
    <t>35250R</t>
  </si>
  <si>
    <t>41380R</t>
  </si>
  <si>
    <t>46220R</t>
  </si>
  <si>
    <t>53160R</t>
  </si>
  <si>
    <t>62400R</t>
  </si>
  <si>
    <t>1DKK</t>
  </si>
  <si>
    <t>[decrease]</t>
  </si>
  <si>
    <t>‡$DCAICAI15MAR</t>
  </si>
  <si>
    <t>RTW</t>
  </si>
  <si>
    <t>SQ</t>
  </si>
  <si>
    <t>CAI-CAI</t>
  </si>
  <si>
    <t>CURRENCY</t>
  </si>
  <si>
    <t>EXIST</t>
  </si>
  <si>
    <t>YEZSQ</t>
  </si>
  <si>
    <t>TD:SQ</t>
  </si>
  <si>
    <t>APAC</t>
  </si>
  <si>
    <t>CEZSQ</t>
  </si>
  <si>
    <t>FEZSQ</t>
  </si>
  <si>
    <t>[This</t>
  </si>
  <si>
    <t>is</t>
  </si>
  <si>
    <t>a</t>
  </si>
  <si>
    <t>I</t>
  </si>
  <si>
    <t>show</t>
  </si>
  <si>
    <t>no</t>
  </si>
  <si>
    <t>other</t>
  </si>
  <si>
    <t>Star</t>
  </si>
  <si>
    <t>Alliance</t>
  </si>
  <si>
    <t>fares</t>
  </si>
  <si>
    <t>out</t>
  </si>
  <si>
    <t>of</t>
  </si>
  <si>
    <t>Cairo.</t>
  </si>
  <si>
    <t>Total</t>
  </si>
  <si>
    <t>list</t>
  </si>
  <si>
    <t>below.]</t>
  </si>
  <si>
    <t>‡$DCAICAI15MAR-RTW</t>
  </si>
  <si>
    <t>EK</t>
  </si>
  <si>
    <t>PR</t>
  </si>
  <si>
    <t>‡$DRIXRIX155MAR-RTW</t>
  </si>
  <si>
    <t>RIX-RIX</t>
  </si>
  <si>
    <t>1LVL</t>
  </si>
  <si>
    <t>‡$DARNARN15MAR-RTW</t>
  </si>
  <si>
    <t>STO-STO</t>
  </si>
  <si>
    <t>14970R</t>
  </si>
  <si>
    <t>18150R</t>
  </si>
  <si>
    <t>20870R</t>
  </si>
  <si>
    <t>24500R</t>
  </si>
  <si>
    <t>36240R</t>
  </si>
  <si>
    <t>41690R</t>
  </si>
  <si>
    <t>48930R</t>
  </si>
  <si>
    <t>54630R</t>
  </si>
  <si>
    <t>62830R</t>
  </si>
  <si>
    <t>73770R</t>
  </si>
  <si>
    <t>1SEK</t>
  </si>
  <si>
    <t>‡$DBJSBJS15MAR-RTW</t>
  </si>
  <si>
    <t>BJS-BJS</t>
  </si>
  <si>
    <t>BJSBJS</t>
  </si>
  <si>
    <t>15720R</t>
  </si>
  <si>
    <t>17930R</t>
  </si>
  <si>
    <t>21240R</t>
  </si>
  <si>
    <t>23900R</t>
  </si>
  <si>
    <t>27480R</t>
  </si>
  <si>
    <t>29070R</t>
  </si>
  <si>
    <t>32260R</t>
  </si>
  <si>
    <t>33640R</t>
  </si>
  <si>
    <t>41500R</t>
  </si>
  <si>
    <t>44730R</t>
  </si>
  <si>
    <t>47930R</t>
  </si>
  <si>
    <t>51450R</t>
  </si>
  <si>
    <t>60400R</t>
  </si>
  <si>
    <t>61650R</t>
  </si>
  <si>
    <t>70890R</t>
  </si>
  <si>
    <t>83230R</t>
  </si>
  <si>
    <t>PEKPEK</t>
  </si>
  <si>
    <t>17X</t>
  </si>
  <si>
    <t>18X</t>
  </si>
  <si>
    <t>19X</t>
  </si>
  <si>
    <t>20X</t>
  </si>
  <si>
    <t>21X</t>
  </si>
  <si>
    <t>22X</t>
  </si>
  <si>
    <t>23X</t>
  </si>
  <si>
    <t>24X</t>
  </si>
  <si>
    <t>25X</t>
  </si>
  <si>
    <t>26X</t>
  </si>
  <si>
    <t>‡$DHKGHKG155MAR-RTW</t>
  </si>
  <si>
    <t>HKG-HKG</t>
  </si>
  <si>
    <t>14810R</t>
  </si>
  <si>
    <t>16890R</t>
  </si>
  <si>
    <t>19980R</t>
  </si>
  <si>
    <t>22500R</t>
  </si>
  <si>
    <t>25870R</t>
  </si>
  <si>
    <t>27390R</t>
  </si>
  <si>
    <t>30370R</t>
  </si>
  <si>
    <t>31690R</t>
  </si>
  <si>
    <t>39090R</t>
  </si>
  <si>
    <t>42200R</t>
  </si>
  <si>
    <t>45150R</t>
  </si>
  <si>
    <t>48550R</t>
  </si>
  <si>
    <t>57000R</t>
  </si>
  <si>
    <t>58200R</t>
  </si>
  <si>
    <t>66900R</t>
  </si>
  <si>
    <t>78550R</t>
  </si>
  <si>
    <t>‡$DJNBJNB155MAR</t>
  </si>
  <si>
    <t>JNB-JNB</t>
  </si>
  <si>
    <t>16000R</t>
  </si>
  <si>
    <t>17300R</t>
  </si>
  <si>
    <t>19890R</t>
  </si>
  <si>
    <t>23350R</t>
  </si>
  <si>
    <t>37300R</t>
  </si>
  <si>
    <t>42900R</t>
  </si>
  <si>
    <t>50400R</t>
  </si>
  <si>
    <t>52400R</t>
  </si>
  <si>
    <t>60250R</t>
  </si>
  <si>
    <t>70700R</t>
  </si>
  <si>
    <t>1ZAR</t>
  </si>
  <si>
    <t>‡$DWAWWAW155MAR-RTW</t>
  </si>
  <si>
    <t>WAW-WAW</t>
  </si>
  <si>
    <t>1PLN</t>
  </si>
  <si>
    <t>‡$DZRHZRH155MAR-RTW</t>
  </si>
  <si>
    <t>ZRH-ZRH</t>
  </si>
  <si>
    <t>3070R</t>
  </si>
  <si>
    <t>3650R</t>
  </si>
  <si>
    <t>4190R</t>
  </si>
  <si>
    <t>4920R</t>
  </si>
  <si>
    <t>7360R</t>
  </si>
  <si>
    <t>8480R</t>
  </si>
  <si>
    <t>9950R</t>
  </si>
  <si>
    <t>11000R</t>
  </si>
  <si>
    <t>12640R</t>
  </si>
  <si>
    <t>14850R</t>
  </si>
  <si>
    <t>1CHF</t>
  </si>
  <si>
    <t>Hereâ€™s</t>
  </si>
  <si>
    <t>bonus:</t>
  </si>
  <si>
    <t>‡$DTLVTLV155MAR-RTW</t>
  </si>
  <si>
    <t>v1.9.5: experimental addition of live exchange rate updating; NOTE: This does not seem to work properly on the Mac! Also added higher xONEx fares ex-Egypt</t>
  </si>
  <si>
    <t>TLV-TLV</t>
  </si>
  <si>
    <t>‡$DBEYBEY155MAR-RTW</t>
  </si>
  <si>
    <t>BEY-BEY</t>
  </si>
  <si>
    <t>‡$DDXBDXB155MAR</t>
  </si>
  <si>
    <t>DXB-DXB</t>
  </si>
  <si>
    <t>10200R</t>
  </si>
  <si>
    <t>19200R</t>
  </si>
  <si>
    <t>25900R</t>
  </si>
  <si>
    <t>1AED</t>
  </si>
  <si>
    <t>Now</t>
  </si>
  <si>
    <t>back</t>
  </si>
  <si>
    <t>to</t>
  </si>
  <si>
    <r>
      <t xml:space="preserve">Many thanks to all the FT'ers to supplied the original fare data on FlyerTalk, including </t>
    </r>
    <r>
      <rPr>
        <b/>
        <sz val="10"/>
        <rFont val="Arial"/>
        <family val="2"/>
      </rPr>
      <t>Patron, spotwelder, Al B, aleph08, bertheike, Hagbard Viking, Guy Betsy, rcs85551, GibSpmuh, thefareguru, retrav1K, ropmot141, ph-ndr, tfung, kanebear</t>
    </r>
    <r>
      <rPr>
        <sz val="10"/>
        <rFont val="Arial"/>
        <family val="0"/>
      </rPr>
      <t xml:space="preserve"> and any others whom I might have missed.</t>
    </r>
  </si>
  <si>
    <t>kanebear's star file and fare update thread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</si>
</sst>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0000000"/>
    <numFmt numFmtId="179" formatCode="_-* #,##0.0_-;\-* #,##0.0_-;_-* &quot;-&quot;??_-;_-@_-"/>
    <numFmt numFmtId="180" formatCode="_-* #,##0_-;\-* #,##0_-;_-* &quot;-&quot;??_-;_-@_-"/>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
    <numFmt numFmtId="187" formatCode="[$-809]dd\ mmmm\ yyyy"/>
    <numFmt numFmtId="188" formatCode="[$-409]d\-mmm\-yy;@"/>
    <numFmt numFmtId="189" formatCode="[$-409]dd\-mmm\-yy;@"/>
    <numFmt numFmtId="190" formatCode="[$-409]h:mm:ss\ AM/PM"/>
    <numFmt numFmtId="191" formatCode="[$-409]dddd\,\ mmmm\ dd\,\ yyyy"/>
  </numFmts>
  <fonts count="1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8"/>
      <name val="Tahoma"/>
      <family val="0"/>
    </font>
    <font>
      <b/>
      <sz val="8"/>
      <name val="Tahoma"/>
      <family val="0"/>
    </font>
    <font>
      <b/>
      <sz val="14"/>
      <name val="Arial"/>
      <family val="0"/>
    </font>
    <font>
      <b/>
      <sz val="10"/>
      <color indexed="8"/>
      <name val="Verdana"/>
      <family val="2"/>
    </font>
    <font>
      <sz val="10"/>
      <color indexed="8"/>
      <name val="Verdana"/>
      <family val="2"/>
    </font>
    <font>
      <i/>
      <sz val="8"/>
      <name val="Arial"/>
      <family val="2"/>
    </font>
    <font>
      <i/>
      <sz val="10"/>
      <name val="Arial"/>
      <family val="2"/>
    </font>
    <font>
      <sz val="8"/>
      <name val="Courier New"/>
      <family val="3"/>
    </font>
    <font>
      <sz val="8"/>
      <color indexed="55"/>
      <name val="Arial"/>
      <family val="0"/>
    </font>
    <font>
      <sz val="8"/>
      <color indexed="22"/>
      <name val="Arial"/>
      <family val="0"/>
    </font>
    <font>
      <b/>
      <sz val="8"/>
      <name val="Arial"/>
      <family val="2"/>
    </font>
  </fonts>
  <fills count="7">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s>
  <borders count="13">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2" borderId="0" xfId="0" applyFill="1" applyAlignment="1">
      <alignment/>
    </xf>
    <xf numFmtId="0" fontId="0" fillId="0" borderId="0" xfId="0" applyAlignment="1">
      <alignment horizontal="right"/>
    </xf>
    <xf numFmtId="3" fontId="0" fillId="0" borderId="0" xfId="0" applyNumberFormat="1" applyAlignment="1">
      <alignment/>
    </xf>
    <xf numFmtId="4" fontId="0" fillId="0" borderId="0" xfId="0" applyNumberFormat="1" applyAlignment="1">
      <alignment/>
    </xf>
    <xf numFmtId="3" fontId="0" fillId="3" borderId="1" xfId="0" applyNumberFormat="1" applyFill="1" applyBorder="1" applyAlignment="1">
      <alignment/>
    </xf>
    <xf numFmtId="0" fontId="0" fillId="3" borderId="1" xfId="0" applyFill="1" applyBorder="1" applyAlignment="1">
      <alignment/>
    </xf>
    <xf numFmtId="3" fontId="0" fillId="0" borderId="2" xfId="0" applyNumberFormat="1" applyBorder="1" applyAlignment="1">
      <alignment/>
    </xf>
    <xf numFmtId="3" fontId="0" fillId="0" borderId="0"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0" fontId="0" fillId="0" borderId="7" xfId="0" applyBorder="1" applyAlignment="1">
      <alignment/>
    </xf>
    <xf numFmtId="0" fontId="0" fillId="0" borderId="8" xfId="0" applyBorder="1" applyAlignment="1">
      <alignment/>
    </xf>
    <xf numFmtId="0" fontId="4" fillId="3" borderId="9" xfId="0" applyFont="1" applyFill="1" applyBorder="1" applyAlignment="1">
      <alignment horizontal="centerContinuous"/>
    </xf>
    <xf numFmtId="0" fontId="4" fillId="3" borderId="10" xfId="0" applyFont="1" applyFill="1" applyBorder="1" applyAlignment="1">
      <alignment horizontal="centerContinuous"/>
    </xf>
    <xf numFmtId="0" fontId="4" fillId="3" borderId="11" xfId="0" applyFont="1" applyFill="1" applyBorder="1" applyAlignment="1">
      <alignment horizontal="centerContinuous"/>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12" xfId="0" applyFill="1" applyBorder="1" applyAlignment="1">
      <alignment/>
    </xf>
    <xf numFmtId="0" fontId="0" fillId="3" borderId="8" xfId="0" applyFill="1" applyBorder="1" applyAlignment="1">
      <alignment/>
    </xf>
    <xf numFmtId="9" fontId="0" fillId="3" borderId="1" xfId="21" applyFill="1" applyBorder="1" applyAlignment="1">
      <alignment/>
    </xf>
    <xf numFmtId="0" fontId="0" fillId="4" borderId="1" xfId="0" applyFill="1" applyBorder="1" applyAlignment="1">
      <alignment/>
    </xf>
    <xf numFmtId="0" fontId="7" fillId="0" borderId="0" xfId="0" applyFont="1" applyAlignment="1">
      <alignment horizontal="centerContinuous"/>
    </xf>
    <xf numFmtId="0" fontId="0" fillId="5" borderId="0" xfId="0" applyFill="1" applyAlignment="1">
      <alignment/>
    </xf>
    <xf numFmtId="3" fontId="0" fillId="5" borderId="0" xfId="0" applyNumberFormat="1" applyFill="1" applyAlignment="1">
      <alignment/>
    </xf>
    <xf numFmtId="9" fontId="0" fillId="5" borderId="0" xfId="21" applyFill="1" applyAlignment="1">
      <alignment/>
    </xf>
    <xf numFmtId="0" fontId="7" fillId="5" borderId="0" xfId="0" applyFont="1" applyFill="1" applyAlignment="1">
      <alignment horizontal="centerContinuous"/>
    </xf>
    <xf numFmtId="0" fontId="7" fillId="0" borderId="0" xfId="0" applyFont="1" applyAlignment="1">
      <alignment horizontal="centerContinuous" vertical="center"/>
    </xf>
    <xf numFmtId="0" fontId="4" fillId="0" borderId="0" xfId="0" applyFont="1" applyAlignment="1">
      <alignment/>
    </xf>
    <xf numFmtId="0" fontId="0" fillId="0" borderId="0" xfId="0" applyAlignment="1">
      <alignment horizontal="centerContinuous"/>
    </xf>
    <xf numFmtId="0" fontId="8" fillId="0" borderId="0" xfId="0" applyFont="1" applyAlignment="1">
      <alignment/>
    </xf>
    <xf numFmtId="0" fontId="9" fillId="0" borderId="0" xfId="0" applyFont="1" applyAlignment="1">
      <alignment/>
    </xf>
    <xf numFmtId="9" fontId="0" fillId="3" borderId="1" xfId="21" applyFill="1" applyBorder="1" applyAlignment="1">
      <alignment/>
    </xf>
    <xf numFmtId="9" fontId="0" fillId="5" borderId="0" xfId="21" applyFill="1" applyAlignment="1">
      <alignment/>
    </xf>
    <xf numFmtId="180" fontId="0" fillId="0" borderId="0" xfId="15" applyNumberFormat="1" applyAlignment="1">
      <alignment/>
    </xf>
    <xf numFmtId="3" fontId="0" fillId="3" borderId="4" xfId="0" applyNumberFormat="1" applyFill="1" applyBorder="1" applyAlignment="1">
      <alignment horizontal="center"/>
    </xf>
    <xf numFmtId="3" fontId="0" fillId="3" borderId="5" xfId="0" applyNumberFormat="1" applyFill="1" applyBorder="1" applyAlignment="1">
      <alignment horizontal="center"/>
    </xf>
    <xf numFmtId="3" fontId="0" fillId="3" borderId="6" xfId="0" applyNumberFormat="1" applyFill="1" applyBorder="1" applyAlignment="1">
      <alignment horizontal="center"/>
    </xf>
    <xf numFmtId="180" fontId="0" fillId="0" borderId="0" xfId="15" applyNumberFormat="1" applyFont="1" applyAlignment="1">
      <alignment/>
    </xf>
    <xf numFmtId="0" fontId="0" fillId="5" borderId="0" xfId="0" applyFill="1" applyAlignment="1">
      <alignment horizontal="centerContinuous"/>
    </xf>
    <xf numFmtId="0" fontId="0" fillId="0" borderId="0" xfId="0" applyAlignment="1">
      <alignment wrapText="1"/>
    </xf>
    <xf numFmtId="0" fontId="2" fillId="0" borderId="0" xfId="20" applyAlignment="1">
      <alignment/>
    </xf>
    <xf numFmtId="15" fontId="0" fillId="0" borderId="0" xfId="0" applyNumberFormat="1" applyAlignment="1">
      <alignment/>
    </xf>
    <xf numFmtId="0" fontId="10" fillId="5" borderId="0" xfId="0" applyFont="1" applyFill="1" applyAlignment="1">
      <alignment/>
    </xf>
    <xf numFmtId="0" fontId="11" fillId="5" borderId="0" xfId="0" applyFont="1" applyFill="1" applyAlignment="1">
      <alignment/>
    </xf>
    <xf numFmtId="0" fontId="3" fillId="5" borderId="0" xfId="0" applyFont="1" applyFill="1" applyAlignment="1">
      <alignment/>
    </xf>
    <xf numFmtId="9" fontId="0" fillId="0" borderId="0" xfId="21" applyAlignment="1">
      <alignment/>
    </xf>
    <xf numFmtId="0" fontId="0" fillId="6" borderId="1" xfId="0" applyFill="1" applyBorder="1" applyAlignment="1">
      <alignment/>
    </xf>
    <xf numFmtId="0" fontId="4" fillId="0" borderId="0" xfId="0" applyFont="1" applyAlignment="1">
      <alignment wrapText="1"/>
    </xf>
    <xf numFmtId="16" fontId="0" fillId="0" borderId="0" xfId="0" applyNumberFormat="1" applyAlignment="1">
      <alignment/>
    </xf>
    <xf numFmtId="9" fontId="0" fillId="0" borderId="0" xfId="0" applyNumberFormat="1" applyAlignment="1">
      <alignment/>
    </xf>
    <xf numFmtId="0" fontId="12" fillId="0" borderId="0" xfId="0" applyFont="1" applyAlignment="1">
      <alignment/>
    </xf>
    <xf numFmtId="0" fontId="0" fillId="5" borderId="0" xfId="0" applyFill="1" applyAlignment="1">
      <alignment horizontal="right"/>
    </xf>
    <xf numFmtId="0" fontId="0" fillId="0" borderId="0" xfId="0" applyNumberFormat="1" applyAlignment="1">
      <alignment/>
    </xf>
    <xf numFmtId="0" fontId="0" fillId="0" borderId="0" xfId="0" applyAlignment="1">
      <alignment horizontal="left" indent="1"/>
    </xf>
    <xf numFmtId="186" fontId="0" fillId="0" borderId="0" xfId="21" applyNumberFormat="1" applyAlignment="1">
      <alignment/>
    </xf>
    <xf numFmtId="0" fontId="0" fillId="0" borderId="0" xfId="0" applyAlignment="1">
      <alignment vertical="top" wrapText="1"/>
    </xf>
    <xf numFmtId="188" fontId="0" fillId="0" borderId="0" xfId="0" applyNumberFormat="1" applyAlignment="1">
      <alignment/>
    </xf>
    <xf numFmtId="188" fontId="3" fillId="0" borderId="0" xfId="0" applyNumberFormat="1" applyFont="1" applyAlignment="1">
      <alignment/>
    </xf>
    <xf numFmtId="0" fontId="0" fillId="0" borderId="0" xfId="0" applyAlignment="1" quotePrefix="1">
      <alignment/>
    </xf>
    <xf numFmtId="189" fontId="13" fillId="5" borderId="0" xfId="0" applyNumberFormat="1" applyFont="1" applyFill="1" applyAlignment="1">
      <alignment horizontal="center"/>
    </xf>
    <xf numFmtId="188" fontId="14" fillId="5" borderId="0" xfId="0" applyNumberFormat="1"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923925</xdr:colOff>
      <xdr:row>0</xdr:row>
      <xdr:rowOff>0</xdr:rowOff>
    </xdr:from>
    <xdr:to>
      <xdr:col>1</xdr:col>
      <xdr:colOff>2714625</xdr:colOff>
      <xdr:row>2</xdr:row>
      <xdr:rowOff>0</xdr:rowOff>
    </xdr:to>
    <xdr:pic>
      <xdr:nvPicPr>
        <xdr:cNvPr id="1" name="CommandButton1"/>
        <xdr:cNvPicPr preferRelativeResize="1">
          <a:picLocks noChangeAspect="1"/>
        </xdr:cNvPicPr>
      </xdr:nvPicPr>
      <xdr:blipFill>
        <a:blip r:embed="rId1"/>
        <a:stretch>
          <a:fillRect/>
        </a:stretch>
      </xdr:blipFill>
      <xdr:spPr>
        <a:xfrm>
          <a:off x="1552575" y="0"/>
          <a:ext cx="17907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lyertalk.com/forum/showthread.php?t=330537" TargetMode="External" /><Relationship Id="rId2" Type="http://schemas.openxmlformats.org/officeDocument/2006/relationships/hyperlink" Target="http://www.hardlink.com/~markdu/OWFiles/" TargetMode="External" /><Relationship Id="rId3" Type="http://schemas.openxmlformats.org/officeDocument/2006/relationships/hyperlink" Target="http://www.flyertalk.com/forum/showthread.php?t=356933" TargetMode="External" /><Relationship Id="rId4" Type="http://schemas.openxmlformats.org/officeDocument/2006/relationships/hyperlink" Target="http://www.flyertalk.com/" TargetMode="External" /><Relationship Id="rId5" Type="http://schemas.openxmlformats.org/officeDocument/2006/relationships/hyperlink" Target="http://www.qantas.com.au/agents/dyn/qf/fares/global" TargetMode="External" /><Relationship Id="rId6" Type="http://schemas.openxmlformats.org/officeDocument/2006/relationships/hyperlink" Target="http://www.flyertalk.com/forum/showthread.php?t=391543" TargetMode="External" /><Relationship Id="rId7" Type="http://schemas.openxmlformats.org/officeDocument/2006/relationships/hyperlink" Target="http://jph.bytestacker.com/award.htm" TargetMode="External" /><Relationship Id="rId8" Type="http://schemas.openxmlformats.org/officeDocument/2006/relationships/hyperlink" Target="http://www.flyertalk.com/forum/showthread.php?t=420900" TargetMode="External" /><Relationship Id="rId9" Type="http://schemas.openxmlformats.org/officeDocument/2006/relationships/hyperlink" Target="http://www.flyertalk.com/forum/showthread.php?t=328799" TargetMode="External" /><Relationship Id="rId10" Type="http://schemas.openxmlformats.org/officeDocument/2006/relationships/hyperlink" Target="http://www.cathaytalk.com/forumdisplay.php?f=4" TargetMode="External" /><Relationship Id="rId11" Type="http://schemas.openxmlformats.org/officeDocument/2006/relationships/hyperlink" Target="http://www.cathaytalk.com/" TargetMode="External" /><Relationship Id="rId12" Type="http://schemas.openxmlformats.org/officeDocument/2006/relationships/hyperlink" Target="http://www.flyertalk.com/forum/showthread.php?t=419590" TargetMode="External" /><Relationship Id="rId13" Type="http://schemas.openxmlformats.org/officeDocument/2006/relationships/hyperlink" Target="http://flyertalk.com/forum/showthread.php?t=515488" TargetMode="External" /><Relationship Id="rId14" Type="http://schemas.openxmlformats.org/officeDocument/2006/relationships/hyperlink" Target="http://flyertalk.com/forum/showthread.php?t=553283" TargetMode="External" /><Relationship Id="rId1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AQ327"/>
  <sheetViews>
    <sheetView zoomScale="75" zoomScaleNormal="75" workbookViewId="0" topLeftCell="A2">
      <pane xSplit="4" ySplit="2" topLeftCell="E54" activePane="bottomRight" state="frozen"/>
      <selection pane="topLeft" activeCell="A2" sqref="A2"/>
      <selection pane="topRight" activeCell="E2" sqref="E2"/>
      <selection pane="bottomLeft" activeCell="A4" sqref="A4"/>
      <selection pane="bottomRight" activeCell="Q88" sqref="Q88"/>
    </sheetView>
  </sheetViews>
  <sheetFormatPr defaultColWidth="9.140625" defaultRowHeight="12.75"/>
  <cols>
    <col min="1" max="1" width="8.8515625" style="0" customWidth="1"/>
    <col min="2" max="2" width="25.140625" style="0" bestFit="1" customWidth="1"/>
    <col min="3" max="16" width="8.8515625" style="0" customWidth="1"/>
    <col min="17" max="17" width="10.421875" style="0" bestFit="1" customWidth="1"/>
    <col min="18" max="36" width="8.8515625" style="0" customWidth="1"/>
    <col min="37" max="37" width="25.140625" style="0" bestFit="1" customWidth="1"/>
    <col min="38" max="16384" width="8.8515625" style="0" customWidth="1"/>
  </cols>
  <sheetData>
    <row r="1" spans="5:34" ht="12.75">
      <c r="E1" s="2" t="s">
        <v>1367</v>
      </c>
      <c r="F1" s="2" t="s">
        <v>1367</v>
      </c>
      <c r="G1" s="2" t="s">
        <v>1367</v>
      </c>
      <c r="H1" s="2" t="s">
        <v>1367</v>
      </c>
      <c r="I1" s="2" t="s">
        <v>1368</v>
      </c>
      <c r="J1" s="2" t="s">
        <v>1368</v>
      </c>
      <c r="K1" s="2" t="s">
        <v>1368</v>
      </c>
      <c r="L1" s="2" t="s">
        <v>1368</v>
      </c>
      <c r="M1" s="2" t="s">
        <v>1369</v>
      </c>
      <c r="N1" s="2" t="s">
        <v>1369</v>
      </c>
      <c r="O1" s="2" t="s">
        <v>1369</v>
      </c>
      <c r="P1" s="2" t="s">
        <v>1369</v>
      </c>
      <c r="Q1" s="2"/>
      <c r="R1" s="2"/>
      <c r="V1" s="2" t="s">
        <v>1367</v>
      </c>
      <c r="W1" s="2" t="s">
        <v>1367</v>
      </c>
      <c r="X1" s="2" t="s">
        <v>1367</v>
      </c>
      <c r="Y1" s="2" t="s">
        <v>1367</v>
      </c>
      <c r="Z1" s="2" t="s">
        <v>1368</v>
      </c>
      <c r="AA1" s="2" t="s">
        <v>1368</v>
      </c>
      <c r="AB1" s="2" t="s">
        <v>1368</v>
      </c>
      <c r="AC1" s="2" t="s">
        <v>1368</v>
      </c>
      <c r="AD1" s="2" t="s">
        <v>1369</v>
      </c>
      <c r="AE1" s="2" t="s">
        <v>1369</v>
      </c>
      <c r="AF1" s="2" t="s">
        <v>1369</v>
      </c>
      <c r="AG1" s="2" t="s">
        <v>1369</v>
      </c>
      <c r="AH1" s="2"/>
    </row>
    <row r="2" spans="5:41" ht="12.75">
      <c r="E2" s="2">
        <v>3</v>
      </c>
      <c r="F2" s="2">
        <v>4</v>
      </c>
      <c r="G2" s="2">
        <v>5</v>
      </c>
      <c r="H2" s="2">
        <v>6</v>
      </c>
      <c r="I2" s="2">
        <v>3</v>
      </c>
      <c r="J2" s="2">
        <v>4</v>
      </c>
      <c r="K2" s="2">
        <v>5</v>
      </c>
      <c r="L2" s="2">
        <v>6</v>
      </c>
      <c r="M2" s="2">
        <v>3</v>
      </c>
      <c r="N2" s="2">
        <v>4</v>
      </c>
      <c r="O2" s="2">
        <v>5</v>
      </c>
      <c r="P2" s="2">
        <v>6</v>
      </c>
      <c r="Q2" s="2"/>
      <c r="R2" s="2"/>
      <c r="V2" s="2">
        <v>3</v>
      </c>
      <c r="W2" s="2">
        <v>4</v>
      </c>
      <c r="X2" s="2">
        <v>5</v>
      </c>
      <c r="Y2" s="2">
        <v>6</v>
      </c>
      <c r="Z2" s="2">
        <v>3</v>
      </c>
      <c r="AA2" s="2">
        <v>4</v>
      </c>
      <c r="AB2" s="2">
        <v>5</v>
      </c>
      <c r="AC2" s="2">
        <v>6</v>
      </c>
      <c r="AD2" s="2">
        <v>3</v>
      </c>
      <c r="AE2" s="2">
        <v>4</v>
      </c>
      <c r="AF2" s="2">
        <v>5</v>
      </c>
      <c r="AG2" s="2">
        <v>6</v>
      </c>
      <c r="AH2" s="2"/>
      <c r="AL2">
        <v>3</v>
      </c>
      <c r="AM2">
        <v>4</v>
      </c>
      <c r="AN2">
        <v>5</v>
      </c>
      <c r="AO2">
        <v>6</v>
      </c>
    </row>
    <row r="3" spans="5:41" ht="12.75">
      <c r="E3" t="s">
        <v>590</v>
      </c>
      <c r="F3" t="s">
        <v>590</v>
      </c>
      <c r="G3" t="s">
        <v>590</v>
      </c>
      <c r="H3" t="s">
        <v>590</v>
      </c>
      <c r="I3" t="s">
        <v>591</v>
      </c>
      <c r="J3" t="s">
        <v>591</v>
      </c>
      <c r="K3" t="s">
        <v>591</v>
      </c>
      <c r="L3" t="s">
        <v>591</v>
      </c>
      <c r="M3" t="s">
        <v>592</v>
      </c>
      <c r="N3" t="s">
        <v>592</v>
      </c>
      <c r="O3" t="s">
        <v>592</v>
      </c>
      <c r="P3" t="s">
        <v>592</v>
      </c>
      <c r="V3" t="str">
        <f>V1&amp;V2</f>
        <v>A3</v>
      </c>
      <c r="W3" t="str">
        <f aca="true" t="shared" si="0" ref="W3:AG3">W1&amp;W2</f>
        <v>A4</v>
      </c>
      <c r="X3" t="str">
        <f t="shared" si="0"/>
        <v>A5</v>
      </c>
      <c r="Y3" t="str">
        <f t="shared" si="0"/>
        <v>A6</v>
      </c>
      <c r="Z3" t="str">
        <f t="shared" si="0"/>
        <v>D3</v>
      </c>
      <c r="AA3" t="str">
        <f t="shared" si="0"/>
        <v>D4</v>
      </c>
      <c r="AB3" t="str">
        <f t="shared" si="0"/>
        <v>D5</v>
      </c>
      <c r="AC3" t="str">
        <f t="shared" si="0"/>
        <v>D6</v>
      </c>
      <c r="AD3" t="str">
        <f t="shared" si="0"/>
        <v>L3</v>
      </c>
      <c r="AE3" t="str">
        <f t="shared" si="0"/>
        <v>L4</v>
      </c>
      <c r="AF3" t="str">
        <f t="shared" si="0"/>
        <v>L5</v>
      </c>
      <c r="AG3" t="str">
        <f t="shared" si="0"/>
        <v>L6</v>
      </c>
      <c r="AJ3" t="str">
        <f>listkey</f>
        <v>A4</v>
      </c>
      <c r="AL3" t="str">
        <f>cl&amp;AL2</f>
        <v>A3</v>
      </c>
      <c r="AM3" t="str">
        <f>cl&amp;AM2</f>
        <v>A4</v>
      </c>
      <c r="AN3" t="str">
        <f>cl&amp;AN2</f>
        <v>A5</v>
      </c>
      <c r="AO3" t="str">
        <f>cl&amp;AO2</f>
        <v>A6</v>
      </c>
    </row>
    <row r="4" spans="1:42" ht="12.75">
      <c r="A4" t="b">
        <f aca="true" t="shared" si="1" ref="A4:A35">ISNA(VLOOKUP(PROPER(B4),$B$97:$H$241,1,FALSE))</f>
        <v>1</v>
      </c>
      <c r="B4" t="s">
        <v>1035</v>
      </c>
      <c r="C4" t="s">
        <v>1308</v>
      </c>
      <c r="D4">
        <f aca="true" t="shared" si="2" ref="D4:D58">VLOOKUP(C4,fx,3,FALSE)</f>
        <v>0.6429</v>
      </c>
      <c r="E4">
        <v>7700</v>
      </c>
      <c r="F4">
        <v>8850</v>
      </c>
      <c r="G4">
        <v>10300</v>
      </c>
      <c r="H4">
        <v>11000</v>
      </c>
      <c r="I4">
        <v>5050</v>
      </c>
      <c r="J4">
        <v>5760</v>
      </c>
      <c r="K4">
        <v>6780</v>
      </c>
      <c r="L4">
        <v>7560</v>
      </c>
      <c r="M4">
        <v>1750</v>
      </c>
      <c r="N4">
        <v>2200</v>
      </c>
      <c r="O4">
        <v>2750</v>
      </c>
      <c r="P4">
        <v>3220</v>
      </c>
      <c r="Q4" s="45">
        <v>39123</v>
      </c>
      <c r="T4" s="4">
        <f aca="true" t="shared" si="3" ref="T4:T58">D4/fxconv</f>
        <v>0.6429</v>
      </c>
      <c r="V4" s="3">
        <f>IF(AND(E4&gt;0,ISNUMBER(E4)),E4/$T4,"")</f>
        <v>11976.979312490277</v>
      </c>
      <c r="W4" s="3">
        <f aca="true" t="shared" si="4" ref="W4:W58">IF(AND(F4&gt;0,ISNUMBER(F4)),F4/$T4,"")</f>
        <v>13765.748950069994</v>
      </c>
      <c r="X4" s="3">
        <f aca="true" t="shared" si="5" ref="X4:X58">IF(AND(G4&gt;0,ISNUMBER(G4)),G4/$T4,"")</f>
        <v>16021.154145279203</v>
      </c>
      <c r="Y4" s="3">
        <f aca="true" t="shared" si="6" ref="Y4:Y58">IF(AND(H4&gt;0,ISNUMBER(H4)),H4/$T4,"")</f>
        <v>17109.97044641468</v>
      </c>
      <c r="Z4" s="3">
        <f aca="true" t="shared" si="7" ref="Z4:Z58">IF(AND(I4&gt;0,ISNUMBER(I4)),I4/$T4,"")</f>
        <v>7855.031886763104</v>
      </c>
      <c r="AA4" s="3">
        <f aca="true" t="shared" si="8" ref="AA4:AA58">IF(AND(J4&gt;0,ISNUMBER(J4)),J4/$T4,"")</f>
        <v>8959.402706486233</v>
      </c>
      <c r="AB4" s="3">
        <f aca="true" t="shared" si="9" ref="AB4:AB58">IF(AND(K4&gt;0,ISNUMBER(K4)),K4/$T4,"")</f>
        <v>10545.963602426504</v>
      </c>
      <c r="AC4" s="3">
        <f aca="true" t="shared" si="10" ref="AC4:AC58">IF(AND(L4&gt;0,ISNUMBER(L4)),L4/$T4,"")</f>
        <v>11759.216052263182</v>
      </c>
      <c r="AD4" s="3">
        <f aca="true" t="shared" si="11" ref="AD4:AD58">IF(AND(M4&gt;0,ISNUMBER(M4)),M4/$T4,"")</f>
        <v>2722.0407528386995</v>
      </c>
      <c r="AE4" s="3">
        <f aca="true" t="shared" si="12" ref="AE4:AE58">IF(AND(N4&gt;0,ISNUMBER(N4)),N4/$T4,"")</f>
        <v>3421.9940892829363</v>
      </c>
      <c r="AF4" s="3">
        <f aca="true" t="shared" si="13" ref="AF4:AF58">IF(AND(O4&gt;0,ISNUMBER(O4)),O4/$T4,"")</f>
        <v>4277.49261160367</v>
      </c>
      <c r="AG4" s="3">
        <f aca="true" t="shared" si="14" ref="AG4:AG58">IF(AND(P4&gt;0,ISNUMBER(P4)),P4/$T4,"")</f>
        <v>5008.554985223207</v>
      </c>
      <c r="AH4" s="3"/>
      <c r="AI4">
        <f aca="true" t="shared" si="15" ref="AI4:AI35">IF(AJ4&lt;&gt;"",RANK(AJ4,$AJ$4:$AJ$94),"")</f>
        <v>26</v>
      </c>
      <c r="AJ4" s="3">
        <f>IF(ISNUMBER(HLOOKUP(listkey,$V$3:$AG$94,ROWS($A$3:C4),FALSE)),HLOOKUP(listkey,$V$3:$AG$94,ROWS($A$3:C4),FALSE)+CODE(LEFT($AK4))/1000+CODE(MID($AK4,2,1))/10000+CODE(RIGHT($AK4))/5000,"")</f>
        <v>13765.844150069994</v>
      </c>
      <c r="AK4" t="str">
        <f>PROPER(B4)</f>
        <v>Albania</v>
      </c>
      <c r="AL4" s="3">
        <f>IF(ISNUMBER(HLOOKUP(AL$3,$V$3:$AG$94,ROWS($A$3:C4),FALSE)),HLOOKUP(AL$3,$V$3:$AG$94,ROWS($A$3:C4),FALSE)+CODE(LEFT($AK4))/1000,"")</f>
        <v>11977.044312490278</v>
      </c>
      <c r="AM4" s="3">
        <f>IF(ISNUMBER(HLOOKUP(AM$3,$V$3:$AG$94,ROWS($A$3:D4),FALSE)),HLOOKUP(AM$3,$V$3:$AG$94,ROWS($A$3:D4),FALSE)+CODE(LEFT($AK4))/1000,"")</f>
        <v>13765.813950069994</v>
      </c>
      <c r="AN4" s="3">
        <f>IF(ISNUMBER(HLOOKUP(AN$3,$V$3:$AG$94,ROWS($A$3:E4),FALSE)),HLOOKUP(AN$3,$V$3:$AG$94,ROWS($A$3:E4),FALSE)+CODE(LEFT($AK4))/1000,"")</f>
        <v>16021.219145279203</v>
      </c>
      <c r="AO4" s="3">
        <f>IF(ISNUMBER(HLOOKUP(AO$3,$V$3:$AG$94,ROWS($A$3:F4),FALSE)),HLOOKUP(AO$3,$V$3:$AG$94,ROWS($A$3:F4),FALSE)+CODE(LEFT($AK4))/1000,"")</f>
        <v>17110.03544641468</v>
      </c>
      <c r="AP4" s="3" t="b">
        <f>A4</f>
        <v>1</v>
      </c>
    </row>
    <row r="5" spans="1:42" ht="12.75">
      <c r="A5" t="b">
        <f t="shared" si="1"/>
        <v>1</v>
      </c>
      <c r="B5" t="s">
        <v>1457</v>
      </c>
      <c r="C5" t="s">
        <v>1251</v>
      </c>
      <c r="D5">
        <f t="shared" si="2"/>
        <v>1</v>
      </c>
      <c r="E5" t="s">
        <v>987</v>
      </c>
      <c r="F5">
        <v>9400</v>
      </c>
      <c r="G5">
        <v>10100</v>
      </c>
      <c r="H5">
        <v>11300</v>
      </c>
      <c r="I5" t="s">
        <v>987</v>
      </c>
      <c r="J5">
        <v>7000</v>
      </c>
      <c r="K5">
        <v>7600</v>
      </c>
      <c r="L5">
        <v>8200</v>
      </c>
      <c r="M5" t="s">
        <v>987</v>
      </c>
      <c r="N5">
        <v>3200</v>
      </c>
      <c r="O5">
        <v>3600</v>
      </c>
      <c r="P5">
        <v>4200</v>
      </c>
      <c r="Q5" s="45">
        <v>39123</v>
      </c>
      <c r="T5" s="4">
        <f t="shared" si="3"/>
        <v>1</v>
      </c>
      <c r="V5" s="3">
        <f aca="true" t="shared" si="16" ref="V5:V59">IF(AND(E5&gt;0,ISNUMBER(E5)),E5/$T5,"")</f>
      </c>
      <c r="W5" s="3">
        <f t="shared" si="4"/>
        <v>9400</v>
      </c>
      <c r="X5" s="3">
        <f t="shared" si="5"/>
        <v>10100</v>
      </c>
      <c r="Y5" s="3">
        <f t="shared" si="6"/>
        <v>11300</v>
      </c>
      <c r="Z5" s="3">
        <f t="shared" si="7"/>
      </c>
      <c r="AA5" s="3">
        <f t="shared" si="8"/>
        <v>7000</v>
      </c>
      <c r="AB5" s="3">
        <f t="shared" si="9"/>
        <v>7600</v>
      </c>
      <c r="AC5" s="3">
        <f t="shared" si="10"/>
        <v>8200</v>
      </c>
      <c r="AD5" s="3">
        <f t="shared" si="11"/>
      </c>
      <c r="AE5" s="3">
        <f t="shared" si="12"/>
        <v>3200</v>
      </c>
      <c r="AF5" s="3">
        <f t="shared" si="13"/>
        <v>3600</v>
      </c>
      <c r="AG5" s="3">
        <f t="shared" si="14"/>
        <v>4200</v>
      </c>
      <c r="AH5" s="3"/>
      <c r="AI5">
        <f t="shared" si="15"/>
        <v>76</v>
      </c>
      <c r="AJ5" s="3">
        <f>IF(ISNUMBER(HLOOKUP(listkey,$V$3:$AG$94,ROWS($A$3:C5),FALSE)),HLOOKUP(listkey,$V$3:$AG$94,ROWS($A$3:C5),FALSE)+CODE(LEFT($AK5))/1000+CODE(MID($AK5,2,1))/10000+CODE(RIGHT($AK5))/5000,"")</f>
        <v>9400.0954</v>
      </c>
      <c r="AK5" t="str">
        <f aca="true" t="shared" si="17" ref="AK5:AK59">PROPER(B5)</f>
        <v>Angola</v>
      </c>
      <c r="AL5" s="3">
        <f>IF(ISNUMBER(HLOOKUP(AL$3,$V$3:$AG$94,ROWS($A$3:C5),FALSE)),HLOOKUP(AL$3,$V$3:$AG$94,ROWS($A$3:C5),FALSE)+CODE(LEFT($AK5))/1000,"")</f>
      </c>
      <c r="AM5" s="3">
        <f>IF(ISNUMBER(HLOOKUP(AM$3,$V$3:$AG$94,ROWS($A$3:D5),FALSE)),HLOOKUP(AM$3,$V$3:$AG$94,ROWS($A$3:D5),FALSE)+CODE(LEFT($AK5))/1000,"")</f>
        <v>9400.065</v>
      </c>
      <c r="AN5" s="3">
        <f>IF(ISNUMBER(HLOOKUP(AN$3,$V$3:$AG$94,ROWS($A$3:E5),FALSE)),HLOOKUP(AN$3,$V$3:$AG$94,ROWS($A$3:E5),FALSE)+CODE(LEFT($AK5))/1000,"")</f>
        <v>10100.065</v>
      </c>
      <c r="AO5" s="3">
        <f>IF(ISNUMBER(HLOOKUP(AO$3,$V$3:$AG$94,ROWS($A$3:F5),FALSE)),HLOOKUP(AO$3,$V$3:$AG$94,ROWS($A$3:F5),FALSE)+CODE(LEFT($AK5))/1000,"")</f>
        <v>11300.065</v>
      </c>
      <c r="AP5" s="3" t="b">
        <f aca="true" t="shared" si="18" ref="AP5:AP59">A5</f>
        <v>1</v>
      </c>
    </row>
    <row r="6" spans="1:42" ht="12.75">
      <c r="A6" t="b">
        <f t="shared" si="1"/>
        <v>1</v>
      </c>
      <c r="B6" t="s">
        <v>1306</v>
      </c>
      <c r="C6" t="s">
        <v>1251</v>
      </c>
      <c r="D6">
        <f t="shared" si="2"/>
        <v>1</v>
      </c>
      <c r="E6">
        <v>7849</v>
      </c>
      <c r="F6">
        <v>8899</v>
      </c>
      <c r="G6">
        <v>10499</v>
      </c>
      <c r="H6">
        <v>11549</v>
      </c>
      <c r="I6">
        <v>5549</v>
      </c>
      <c r="J6">
        <v>6299</v>
      </c>
      <c r="K6">
        <v>7349</v>
      </c>
      <c r="L6">
        <v>8399</v>
      </c>
      <c r="M6">
        <v>2649</v>
      </c>
      <c r="N6">
        <v>2999</v>
      </c>
      <c r="O6">
        <v>3499</v>
      </c>
      <c r="P6">
        <v>3999</v>
      </c>
      <c r="Q6" s="45">
        <v>39563</v>
      </c>
      <c r="T6" s="4">
        <f t="shared" si="3"/>
        <v>1</v>
      </c>
      <c r="V6" s="3">
        <f t="shared" si="16"/>
        <v>7849</v>
      </c>
      <c r="W6" s="3">
        <f t="shared" si="4"/>
        <v>8899</v>
      </c>
      <c r="X6" s="3">
        <f t="shared" si="5"/>
        <v>10499</v>
      </c>
      <c r="Y6" s="3">
        <f t="shared" si="6"/>
        <v>11549</v>
      </c>
      <c r="Z6" s="3">
        <f t="shared" si="7"/>
        <v>5549</v>
      </c>
      <c r="AA6" s="3">
        <f t="shared" si="8"/>
        <v>6299</v>
      </c>
      <c r="AB6" s="3">
        <f t="shared" si="9"/>
        <v>7349</v>
      </c>
      <c r="AC6" s="3">
        <f t="shared" si="10"/>
        <v>8399</v>
      </c>
      <c r="AD6" s="3">
        <f t="shared" si="11"/>
        <v>2649</v>
      </c>
      <c r="AE6" s="3">
        <f t="shared" si="12"/>
        <v>2999</v>
      </c>
      <c r="AF6" s="3">
        <f t="shared" si="13"/>
        <v>3499</v>
      </c>
      <c r="AG6" s="3">
        <f t="shared" si="14"/>
        <v>3999</v>
      </c>
      <c r="AH6" s="3"/>
      <c r="AI6">
        <f t="shared" si="15"/>
        <v>83</v>
      </c>
      <c r="AJ6" s="3">
        <f>IF(ISNUMBER(HLOOKUP(listkey,$V$3:$AG$94,ROWS($A$3:C6),FALSE)),HLOOKUP(listkey,$V$3:$AG$94,ROWS($A$3:C6),FALSE)+CODE(LEFT($AK6))/1000+CODE(MID($AK6,2,1))/10000+CODE(RIGHT($AK6))/5000,"")</f>
        <v>8899.0958</v>
      </c>
      <c r="AK6" t="str">
        <f t="shared" si="17"/>
        <v>Armenia</v>
      </c>
      <c r="AL6" s="3">
        <f>IF(ISNUMBER(HLOOKUP(AL$3,$V$3:$AG$94,ROWS($A$3:C6),FALSE)),HLOOKUP(AL$3,$V$3:$AG$94,ROWS($A$3:C6),FALSE)+CODE(LEFT($AK6))/1000,"")</f>
        <v>7849.065</v>
      </c>
      <c r="AM6" s="3">
        <f>IF(ISNUMBER(HLOOKUP(AM$3,$V$3:$AG$94,ROWS($A$3:D6),FALSE)),HLOOKUP(AM$3,$V$3:$AG$94,ROWS($A$3:D6),FALSE)+CODE(LEFT($AK6))/1000,"")</f>
        <v>8899.065</v>
      </c>
      <c r="AN6" s="3">
        <f>IF(ISNUMBER(HLOOKUP(AN$3,$V$3:$AG$94,ROWS($A$3:E6),FALSE)),HLOOKUP(AN$3,$V$3:$AG$94,ROWS($A$3:E6),FALSE)+CODE(LEFT($AK6))/1000,"")</f>
        <v>10499.065</v>
      </c>
      <c r="AO6" s="3">
        <f>IF(ISNUMBER(HLOOKUP(AO$3,$V$3:$AG$94,ROWS($A$3:F6),FALSE)),HLOOKUP(AO$3,$V$3:$AG$94,ROWS($A$3:F6),FALSE)+CODE(LEFT($AK6))/1000,"")</f>
        <v>11549.065</v>
      </c>
      <c r="AP6" s="3" t="b">
        <f t="shared" si="18"/>
        <v>1</v>
      </c>
    </row>
    <row r="7" spans="1:42" ht="12.75">
      <c r="A7" t="b">
        <f t="shared" si="1"/>
        <v>1</v>
      </c>
      <c r="B7" t="s">
        <v>1459</v>
      </c>
      <c r="C7" t="s">
        <v>1353</v>
      </c>
      <c r="D7">
        <f t="shared" si="2"/>
        <v>1.0657</v>
      </c>
      <c r="F7">
        <v>14799</v>
      </c>
      <c r="G7">
        <v>15899</v>
      </c>
      <c r="H7">
        <v>16999</v>
      </c>
      <c r="J7">
        <v>10499</v>
      </c>
      <c r="K7">
        <v>11699</v>
      </c>
      <c r="L7">
        <v>13099</v>
      </c>
      <c r="N7">
        <v>3479</v>
      </c>
      <c r="O7">
        <v>4079</v>
      </c>
      <c r="P7">
        <v>4759</v>
      </c>
      <c r="Q7" s="45">
        <v>39563</v>
      </c>
      <c r="T7" s="4">
        <f t="shared" si="3"/>
        <v>1.0657</v>
      </c>
      <c r="V7" s="3">
        <f t="shared" si="16"/>
      </c>
      <c r="W7" s="3">
        <f t="shared" si="4"/>
        <v>13886.647274092145</v>
      </c>
      <c r="X7" s="3">
        <f t="shared" si="5"/>
        <v>14918.832692127238</v>
      </c>
      <c r="Y7" s="3">
        <f t="shared" si="6"/>
        <v>15951.018110162333</v>
      </c>
      <c r="Z7" s="3">
        <f t="shared" si="7"/>
      </c>
      <c r="AA7" s="3">
        <f t="shared" si="8"/>
        <v>9851.740639954958</v>
      </c>
      <c r="AB7" s="3">
        <f t="shared" si="9"/>
        <v>10977.761095993243</v>
      </c>
      <c r="AC7" s="3">
        <f t="shared" si="10"/>
        <v>12291.451628037908</v>
      </c>
      <c r="AD7" s="3">
        <f t="shared" si="11"/>
      </c>
      <c r="AE7" s="3">
        <f t="shared" si="12"/>
        <v>3264.5209721309934</v>
      </c>
      <c r="AF7" s="3">
        <f t="shared" si="13"/>
        <v>3827.5312001501356</v>
      </c>
      <c r="AG7" s="3">
        <f t="shared" si="14"/>
        <v>4465.60945857183</v>
      </c>
      <c r="AH7" s="3"/>
      <c r="AI7">
        <f t="shared" si="15"/>
        <v>24</v>
      </c>
      <c r="AJ7" s="3">
        <f>IF(ISNUMBER(HLOOKUP(listkey,$V$3:$AG$94,ROWS($A$3:C7),FALSE)),HLOOKUP(listkey,$V$3:$AG$94,ROWS($A$3:C7),FALSE)+CODE(LEFT($AK7))/1000+CODE(MID($AK7,2,1))/10000+CODE(RIGHT($AK7))/5000,"")</f>
        <v>13886.745374092145</v>
      </c>
      <c r="AK7" t="str">
        <f t="shared" si="17"/>
        <v>Australia Peak</v>
      </c>
      <c r="AL7" s="3">
        <f>IF(ISNUMBER(HLOOKUP(AL$3,$V$3:$AG$94,ROWS($A$3:C7),FALSE)),HLOOKUP(AL$3,$V$3:$AG$94,ROWS($A$3:C7),FALSE)+CODE(LEFT($AK7))/1000,"")</f>
      </c>
      <c r="AM7" s="3">
        <f>IF(ISNUMBER(HLOOKUP(AM$3,$V$3:$AG$94,ROWS($A$3:D7),FALSE)),HLOOKUP(AM$3,$V$3:$AG$94,ROWS($A$3:D7),FALSE)+CODE(LEFT($AK7))/1000,"")</f>
        <v>13886.712274092146</v>
      </c>
      <c r="AN7" s="3">
        <f>IF(ISNUMBER(HLOOKUP(AN$3,$V$3:$AG$94,ROWS($A$3:E7),FALSE)),HLOOKUP(AN$3,$V$3:$AG$94,ROWS($A$3:E7),FALSE)+CODE(LEFT($AK7))/1000,"")</f>
        <v>14918.897692127239</v>
      </c>
      <c r="AO7" s="3">
        <f>IF(ISNUMBER(HLOOKUP(AO$3,$V$3:$AG$94,ROWS($A$3:F7),FALSE)),HLOOKUP(AO$3,$V$3:$AG$94,ROWS($A$3:F7),FALSE)+CODE(LEFT($AK7))/1000,"")</f>
        <v>15951.083110162333</v>
      </c>
      <c r="AP7" s="3" t="b">
        <f t="shared" si="18"/>
        <v>1</v>
      </c>
    </row>
    <row r="8" spans="1:42" ht="12.75">
      <c r="A8" t="b">
        <f t="shared" si="1"/>
        <v>1</v>
      </c>
      <c r="B8" t="s">
        <v>1458</v>
      </c>
      <c r="C8" t="s">
        <v>1353</v>
      </c>
      <c r="D8">
        <f t="shared" si="2"/>
        <v>1.0657</v>
      </c>
      <c r="F8">
        <v>14799</v>
      </c>
      <c r="G8">
        <v>15899</v>
      </c>
      <c r="H8">
        <v>16999</v>
      </c>
      <c r="J8">
        <v>10499</v>
      </c>
      <c r="K8">
        <v>11699</v>
      </c>
      <c r="L8">
        <v>13099</v>
      </c>
      <c r="N8">
        <v>3289</v>
      </c>
      <c r="O8">
        <v>3849</v>
      </c>
      <c r="P8">
        <v>4489</v>
      </c>
      <c r="Q8" s="45">
        <v>39563</v>
      </c>
      <c r="T8" s="4">
        <f t="shared" si="3"/>
        <v>1.0657</v>
      </c>
      <c r="V8" s="3">
        <f t="shared" si="16"/>
      </c>
      <c r="W8" s="3">
        <f t="shared" si="4"/>
        <v>13886.647274092145</v>
      </c>
      <c r="X8" s="3">
        <f t="shared" si="5"/>
        <v>14918.832692127238</v>
      </c>
      <c r="Y8" s="3">
        <f t="shared" si="6"/>
        <v>15951.018110162333</v>
      </c>
      <c r="Z8" s="3">
        <f t="shared" si="7"/>
      </c>
      <c r="AA8" s="3">
        <f t="shared" si="8"/>
        <v>9851.740639954958</v>
      </c>
      <c r="AB8" s="3">
        <f t="shared" si="9"/>
        <v>10977.761095993243</v>
      </c>
      <c r="AC8" s="3">
        <f t="shared" si="10"/>
        <v>12291.451628037908</v>
      </c>
      <c r="AD8" s="3">
        <f t="shared" si="11"/>
      </c>
      <c r="AE8" s="3">
        <f t="shared" si="12"/>
        <v>3086.2343999249315</v>
      </c>
      <c r="AF8" s="3">
        <f t="shared" si="13"/>
        <v>3611.710612742798</v>
      </c>
      <c r="AG8" s="3">
        <f t="shared" si="14"/>
        <v>4212.254855963216</v>
      </c>
      <c r="AH8" s="3"/>
      <c r="AI8">
        <f t="shared" si="15"/>
        <v>25</v>
      </c>
      <c r="AJ8" s="3">
        <f>IF(ISNUMBER(HLOOKUP(listkey,$V$3:$AG$94,ROWS($A$3:C8),FALSE)),HLOOKUP(listkey,$V$3:$AG$94,ROWS($A$3:C8),FALSE)+CODE(LEFT($AK8))/1000+CODE(MID($AK8,2,1))/10000+CODE(RIGHT($AK8))/5000,"")</f>
        <v>13886.743774092145</v>
      </c>
      <c r="AK8" t="str">
        <f t="shared" si="17"/>
        <v>Australia Basic</v>
      </c>
      <c r="AL8" s="3">
        <f>IF(ISNUMBER(HLOOKUP(AL$3,$V$3:$AG$94,ROWS($A$3:C8),FALSE)),HLOOKUP(AL$3,$V$3:$AG$94,ROWS($A$3:C8),FALSE)+CODE(LEFT($AK8))/1000,"")</f>
      </c>
      <c r="AM8" s="3">
        <f>IF(ISNUMBER(HLOOKUP(AM$3,$V$3:$AG$94,ROWS($A$3:D8),FALSE)),HLOOKUP(AM$3,$V$3:$AG$94,ROWS($A$3:D8),FALSE)+CODE(LEFT($AK8))/1000,"")</f>
        <v>13886.712274092146</v>
      </c>
      <c r="AN8" s="3">
        <f>IF(ISNUMBER(HLOOKUP(AN$3,$V$3:$AG$94,ROWS($A$3:E8),FALSE)),HLOOKUP(AN$3,$V$3:$AG$94,ROWS($A$3:E8),FALSE)+CODE(LEFT($AK8))/1000,"")</f>
        <v>14918.897692127239</v>
      </c>
      <c r="AO8" s="3">
        <f>IF(ISNUMBER(HLOOKUP(AO$3,$V$3:$AG$94,ROWS($A$3:F8),FALSE)),HLOOKUP(AO$3,$V$3:$AG$94,ROWS($A$3:F8),FALSE)+CODE(LEFT($AK8))/1000,"")</f>
        <v>15951.083110162333</v>
      </c>
      <c r="AP8" s="3" t="b">
        <f t="shared" si="18"/>
        <v>1</v>
      </c>
    </row>
    <row r="9" spans="1:42" ht="12.75">
      <c r="A9" t="b">
        <f t="shared" si="1"/>
        <v>0</v>
      </c>
      <c r="B9" t="s">
        <v>1307</v>
      </c>
      <c r="C9" t="s">
        <v>1308</v>
      </c>
      <c r="D9">
        <f t="shared" si="2"/>
        <v>0.6429</v>
      </c>
      <c r="E9">
        <v>8199</v>
      </c>
      <c r="F9">
        <v>9099</v>
      </c>
      <c r="G9">
        <v>10299</v>
      </c>
      <c r="H9">
        <v>11499</v>
      </c>
      <c r="I9">
        <v>4999</v>
      </c>
      <c r="J9">
        <v>5899</v>
      </c>
      <c r="K9">
        <v>6599</v>
      </c>
      <c r="L9">
        <v>7599</v>
      </c>
      <c r="M9">
        <v>1949</v>
      </c>
      <c r="N9">
        <v>2349</v>
      </c>
      <c r="O9">
        <v>2849</v>
      </c>
      <c r="P9">
        <v>3299</v>
      </c>
      <c r="Q9" s="45">
        <v>39563</v>
      </c>
      <c r="T9" s="4">
        <f t="shared" si="3"/>
        <v>0.6429</v>
      </c>
      <c r="V9" s="3">
        <f t="shared" si="16"/>
        <v>12753.149790013998</v>
      </c>
      <c r="W9" s="3">
        <f t="shared" si="4"/>
        <v>14153.056462902472</v>
      </c>
      <c r="X9" s="3">
        <f t="shared" si="5"/>
        <v>16019.598693420437</v>
      </c>
      <c r="Y9" s="3">
        <f t="shared" si="6"/>
        <v>17886.140923938405</v>
      </c>
      <c r="Z9" s="3">
        <f t="shared" si="7"/>
        <v>7775.703841966091</v>
      </c>
      <c r="AA9" s="3">
        <f t="shared" si="8"/>
        <v>9175.610514854565</v>
      </c>
      <c r="AB9" s="3">
        <f t="shared" si="9"/>
        <v>10264.426815990044</v>
      </c>
      <c r="AC9" s="3">
        <f t="shared" si="10"/>
        <v>11819.878674755017</v>
      </c>
      <c r="AD9" s="3">
        <f t="shared" si="11"/>
        <v>3031.575672732929</v>
      </c>
      <c r="AE9" s="3">
        <f t="shared" si="12"/>
        <v>3653.756416238917</v>
      </c>
      <c r="AF9" s="3">
        <f t="shared" si="13"/>
        <v>4431.482345621403</v>
      </c>
      <c r="AG9" s="3">
        <f t="shared" si="14"/>
        <v>5131.435682065639</v>
      </c>
      <c r="AH9" s="3"/>
      <c r="AI9">
        <f t="shared" si="15"/>
        <v>23</v>
      </c>
      <c r="AJ9" s="3">
        <f>IF(ISNUMBER(HLOOKUP(listkey,$V$3:$AG$94,ROWS($A$3:C9),FALSE)),HLOOKUP(listkey,$V$3:$AG$94,ROWS($A$3:C9),FALSE)+CODE(LEFT($AK9))/1000+CODE(MID($AK9,2,1))/10000+CODE(RIGHT($AK9))/5000,"")</f>
        <v>14153.15256290247</v>
      </c>
      <c r="AK9" t="str">
        <f t="shared" si="17"/>
        <v>Austria</v>
      </c>
      <c r="AL9" s="3">
        <f>IF(ISNUMBER(HLOOKUP(AL$3,$V$3:$AG$94,ROWS($A$3:C9),FALSE)),HLOOKUP(AL$3,$V$3:$AG$94,ROWS($A$3:C9),FALSE)+CODE(LEFT($AK9))/1000,"")</f>
        <v>12753.214790013999</v>
      </c>
      <c r="AM9" s="3">
        <f>IF(ISNUMBER(HLOOKUP(AM$3,$V$3:$AG$94,ROWS($A$3:D9),FALSE)),HLOOKUP(AM$3,$V$3:$AG$94,ROWS($A$3:D9),FALSE)+CODE(LEFT($AK9))/1000,"")</f>
        <v>14153.121462902473</v>
      </c>
      <c r="AN9" s="3">
        <f>IF(ISNUMBER(HLOOKUP(AN$3,$V$3:$AG$94,ROWS($A$3:E9),FALSE)),HLOOKUP(AN$3,$V$3:$AG$94,ROWS($A$3:E9),FALSE)+CODE(LEFT($AK9))/1000,"")</f>
        <v>16019.663693420438</v>
      </c>
      <c r="AO9" s="3">
        <f>IF(ISNUMBER(HLOOKUP(AO$3,$V$3:$AG$94,ROWS($A$3:F9),FALSE)),HLOOKUP(AO$3,$V$3:$AG$94,ROWS($A$3:F9),FALSE)+CODE(LEFT($AK9))/1000,"")</f>
        <v>17886.205923938403</v>
      </c>
      <c r="AP9" s="3" t="b">
        <f t="shared" si="18"/>
        <v>0</v>
      </c>
    </row>
    <row r="10" spans="1:42" ht="12.75">
      <c r="A10" t="b">
        <f t="shared" si="1"/>
        <v>1</v>
      </c>
      <c r="B10" t="s">
        <v>1309</v>
      </c>
      <c r="C10" t="s">
        <v>1251</v>
      </c>
      <c r="D10">
        <f t="shared" si="2"/>
        <v>1</v>
      </c>
      <c r="E10">
        <v>8100</v>
      </c>
      <c r="F10">
        <v>9310</v>
      </c>
      <c r="G10">
        <v>10499</v>
      </c>
      <c r="H10">
        <v>11700</v>
      </c>
      <c r="I10">
        <v>5700</v>
      </c>
      <c r="J10">
        <v>6400</v>
      </c>
      <c r="K10">
        <v>7600</v>
      </c>
      <c r="L10">
        <v>8410</v>
      </c>
      <c r="M10">
        <v>2600</v>
      </c>
      <c r="N10">
        <v>2950</v>
      </c>
      <c r="O10">
        <v>3400</v>
      </c>
      <c r="P10">
        <v>3900</v>
      </c>
      <c r="Q10" s="45">
        <v>39123</v>
      </c>
      <c r="T10" s="4">
        <f t="shared" si="3"/>
        <v>1</v>
      </c>
      <c r="V10" s="3">
        <f t="shared" si="16"/>
        <v>8100</v>
      </c>
      <c r="W10" s="3">
        <f t="shared" si="4"/>
        <v>9310</v>
      </c>
      <c r="X10" s="3">
        <f t="shared" si="5"/>
        <v>10499</v>
      </c>
      <c r="Y10" s="3">
        <f t="shared" si="6"/>
        <v>11700</v>
      </c>
      <c r="Z10" s="3">
        <f t="shared" si="7"/>
        <v>5700</v>
      </c>
      <c r="AA10" s="3">
        <f t="shared" si="8"/>
        <v>6400</v>
      </c>
      <c r="AB10" s="3">
        <f t="shared" si="9"/>
        <v>7600</v>
      </c>
      <c r="AC10" s="3">
        <f t="shared" si="10"/>
        <v>8410</v>
      </c>
      <c r="AD10" s="3">
        <f t="shared" si="11"/>
        <v>2600</v>
      </c>
      <c r="AE10" s="3">
        <f t="shared" si="12"/>
        <v>2950</v>
      </c>
      <c r="AF10" s="3">
        <f t="shared" si="13"/>
        <v>3400</v>
      </c>
      <c r="AG10" s="3">
        <f t="shared" si="14"/>
        <v>3900</v>
      </c>
      <c r="AH10" s="3"/>
      <c r="AI10">
        <f t="shared" si="15"/>
        <v>77</v>
      </c>
      <c r="AJ10" s="3">
        <f>IF(ISNUMBER(HLOOKUP(listkey,$V$3:$AG$94,ROWS($A$3:C10),FALSE)),HLOOKUP(listkey,$V$3:$AG$94,ROWS($A$3:C10),FALSE)+CODE(LEFT($AK10))/1000+CODE(MID($AK10,2,1))/10000+CODE(RIGHT($AK10))/5000,"")</f>
        <v>9310.0992</v>
      </c>
      <c r="AK10" t="str">
        <f t="shared" si="17"/>
        <v>Azerbaijan</v>
      </c>
      <c r="AL10" s="3">
        <f>IF(ISNUMBER(HLOOKUP(AL$3,$V$3:$AG$94,ROWS($A$3:C10),FALSE)),HLOOKUP(AL$3,$V$3:$AG$94,ROWS($A$3:C10),FALSE)+CODE(LEFT($AK10))/1000,"")</f>
        <v>8100.065</v>
      </c>
      <c r="AM10" s="3">
        <f>IF(ISNUMBER(HLOOKUP(AM$3,$V$3:$AG$94,ROWS($A$3:D10),FALSE)),HLOOKUP(AM$3,$V$3:$AG$94,ROWS($A$3:D10),FALSE)+CODE(LEFT($AK10))/1000,"")</f>
        <v>9310.065</v>
      </c>
      <c r="AN10" s="3">
        <f>IF(ISNUMBER(HLOOKUP(AN$3,$V$3:$AG$94,ROWS($A$3:E10),FALSE)),HLOOKUP(AN$3,$V$3:$AG$94,ROWS($A$3:E10),FALSE)+CODE(LEFT($AK10))/1000,"")</f>
        <v>10499.065</v>
      </c>
      <c r="AO10" s="3">
        <f>IF(ISNUMBER(HLOOKUP(AO$3,$V$3:$AG$94,ROWS($A$3:F10),FALSE)),HLOOKUP(AO$3,$V$3:$AG$94,ROWS($A$3:F10),FALSE)+CODE(LEFT($AK10))/1000,"")</f>
        <v>11700.065</v>
      </c>
      <c r="AP10" s="3" t="b">
        <f t="shared" si="18"/>
        <v>1</v>
      </c>
    </row>
    <row r="11" spans="1:42" ht="12.75">
      <c r="A11" t="b">
        <f t="shared" si="1"/>
        <v>0</v>
      </c>
      <c r="B11" t="s">
        <v>1339</v>
      </c>
      <c r="C11" t="s">
        <v>1340</v>
      </c>
      <c r="D11">
        <f t="shared" si="2"/>
        <v>0.3771</v>
      </c>
      <c r="E11">
        <v>4000</v>
      </c>
      <c r="F11">
        <v>4565</v>
      </c>
      <c r="G11">
        <v>5375</v>
      </c>
      <c r="H11">
        <v>6000</v>
      </c>
      <c r="I11">
        <v>2750</v>
      </c>
      <c r="J11">
        <v>3125</v>
      </c>
      <c r="K11">
        <v>3625</v>
      </c>
      <c r="L11">
        <v>4125</v>
      </c>
      <c r="M11">
        <v>1100</v>
      </c>
      <c r="N11">
        <v>1300</v>
      </c>
      <c r="O11">
        <v>1500</v>
      </c>
      <c r="P11">
        <v>1700</v>
      </c>
      <c r="Q11" s="45">
        <v>39563</v>
      </c>
      <c r="T11" s="4">
        <f t="shared" si="3"/>
        <v>0.3771</v>
      </c>
      <c r="V11" s="3">
        <f t="shared" si="16"/>
        <v>10607.265977194378</v>
      </c>
      <c r="W11" s="3">
        <f t="shared" si="4"/>
        <v>12105.542296473084</v>
      </c>
      <c r="X11" s="3">
        <f t="shared" si="5"/>
        <v>14253.513656854946</v>
      </c>
      <c r="Y11" s="3">
        <f t="shared" si="6"/>
        <v>15910.898965791568</v>
      </c>
      <c r="Z11" s="3">
        <f t="shared" si="7"/>
        <v>7292.495359321135</v>
      </c>
      <c r="AA11" s="3">
        <f t="shared" si="8"/>
        <v>8286.926544683109</v>
      </c>
      <c r="AB11" s="3">
        <f t="shared" si="9"/>
        <v>9612.834791832405</v>
      </c>
      <c r="AC11" s="3">
        <f t="shared" si="10"/>
        <v>10938.743038981702</v>
      </c>
      <c r="AD11" s="3">
        <f t="shared" si="11"/>
        <v>2916.998143728454</v>
      </c>
      <c r="AE11" s="3">
        <f t="shared" si="12"/>
        <v>3447.361442588173</v>
      </c>
      <c r="AF11" s="3">
        <f t="shared" si="13"/>
        <v>3977.724741447892</v>
      </c>
      <c r="AG11" s="3">
        <f t="shared" si="14"/>
        <v>4508.088040307611</v>
      </c>
      <c r="AH11" s="3"/>
      <c r="AI11">
        <f t="shared" si="15"/>
        <v>42</v>
      </c>
      <c r="AJ11" s="3">
        <f>IF(ISNUMBER(HLOOKUP(listkey,$V$3:$AG$94,ROWS($A$3:C11),FALSE)),HLOOKUP(listkey,$V$3:$AG$94,ROWS($A$3:C11),FALSE)+CODE(LEFT($AK11))/1000+CODE(MID($AK11,2,1))/10000+CODE(RIGHT($AK11))/5000,"")</f>
        <v>12105.639996473086</v>
      </c>
      <c r="AK11" t="str">
        <f t="shared" si="17"/>
        <v>Bahrain</v>
      </c>
      <c r="AL11" s="3">
        <f>IF(ISNUMBER(HLOOKUP(AL$3,$V$3:$AG$94,ROWS($A$3:C11),FALSE)),HLOOKUP(AL$3,$V$3:$AG$94,ROWS($A$3:C11),FALSE)+CODE(LEFT($AK11))/1000,"")</f>
        <v>10607.331977194379</v>
      </c>
      <c r="AM11" s="3">
        <f>IF(ISNUMBER(HLOOKUP(AM$3,$V$3:$AG$94,ROWS($A$3:D11),FALSE)),HLOOKUP(AM$3,$V$3:$AG$94,ROWS($A$3:D11),FALSE)+CODE(LEFT($AK11))/1000,"")</f>
        <v>12105.608296473085</v>
      </c>
      <c r="AN11" s="3">
        <f>IF(ISNUMBER(HLOOKUP(AN$3,$V$3:$AG$94,ROWS($A$3:E11),FALSE)),HLOOKUP(AN$3,$V$3:$AG$94,ROWS($A$3:E11),FALSE)+CODE(LEFT($AK11))/1000,"")</f>
        <v>14253.579656854947</v>
      </c>
      <c r="AO11" s="3">
        <f>IF(ISNUMBER(HLOOKUP(AO$3,$V$3:$AG$94,ROWS($A$3:F11),FALSE)),HLOOKUP(AO$3,$V$3:$AG$94,ROWS($A$3:F11),FALSE)+CODE(LEFT($AK11))/1000,"")</f>
        <v>15910.964965791569</v>
      </c>
      <c r="AP11" s="3" t="b">
        <f t="shared" si="18"/>
        <v>0</v>
      </c>
    </row>
    <row r="12" spans="1:42" ht="12.75">
      <c r="A12" t="b">
        <f t="shared" si="1"/>
        <v>0</v>
      </c>
      <c r="B12" t="s">
        <v>1267</v>
      </c>
      <c r="C12" t="s">
        <v>1251</v>
      </c>
      <c r="D12">
        <f t="shared" si="2"/>
        <v>1</v>
      </c>
      <c r="E12">
        <v>10968.148799999999</v>
      </c>
      <c r="F12">
        <v>12270.892</v>
      </c>
      <c r="G12">
        <v>14107.135999999999</v>
      </c>
      <c r="H12">
        <v>15757.327199999998</v>
      </c>
      <c r="I12">
        <v>6538.7472</v>
      </c>
      <c r="J12">
        <v>7394.851599999999</v>
      </c>
      <c r="K12">
        <v>8672.750399999999</v>
      </c>
      <c r="L12">
        <v>9665.4056</v>
      </c>
      <c r="M12">
        <v>2840.294</v>
      </c>
      <c r="N12">
        <v>3406.8583999999996</v>
      </c>
      <c r="O12">
        <v>3916.6355999999996</v>
      </c>
      <c r="P12">
        <v>4504.868799999999</v>
      </c>
      <c r="Q12" s="45">
        <v>39563</v>
      </c>
      <c r="T12" s="4">
        <f t="shared" si="3"/>
        <v>1</v>
      </c>
      <c r="V12" s="3">
        <f t="shared" si="16"/>
        <v>10968.148799999999</v>
      </c>
      <c r="W12" s="3">
        <f t="shared" si="4"/>
        <v>12270.892</v>
      </c>
      <c r="X12" s="3">
        <f t="shared" si="5"/>
        <v>14107.135999999999</v>
      </c>
      <c r="Y12" s="3">
        <f t="shared" si="6"/>
        <v>15757.327199999998</v>
      </c>
      <c r="Z12" s="3">
        <f t="shared" si="7"/>
        <v>6538.7472</v>
      </c>
      <c r="AA12" s="3">
        <f t="shared" si="8"/>
        <v>7394.851599999999</v>
      </c>
      <c r="AB12" s="3">
        <f t="shared" si="9"/>
        <v>8672.750399999999</v>
      </c>
      <c r="AC12" s="3">
        <f t="shared" si="10"/>
        <v>9665.4056</v>
      </c>
      <c r="AD12" s="3">
        <f t="shared" si="11"/>
        <v>2840.294</v>
      </c>
      <c r="AE12" s="3">
        <f t="shared" si="12"/>
        <v>3406.8583999999996</v>
      </c>
      <c r="AF12" s="3">
        <f t="shared" si="13"/>
        <v>3916.6355999999996</v>
      </c>
      <c r="AG12" s="3">
        <f t="shared" si="14"/>
        <v>4504.868799999999</v>
      </c>
      <c r="AH12" s="3"/>
      <c r="AI12">
        <f t="shared" si="15"/>
        <v>38</v>
      </c>
      <c r="AJ12" s="3">
        <f>IF(ISNUMBER(HLOOKUP(listkey,$V$3:$AG$94,ROWS($A$3:C12),FALSE)),HLOOKUP(listkey,$V$3:$AG$94,ROWS($A$3:C12),FALSE)+CODE(LEFT($AK12))/1000+CODE(MID($AK12,2,1))/10000+CODE(RIGHT($AK12))/5000,"")</f>
        <v>12270.988500000001</v>
      </c>
      <c r="AK12" t="str">
        <f t="shared" si="17"/>
        <v>Bangladesh</v>
      </c>
      <c r="AL12" s="3">
        <f>IF(ISNUMBER(HLOOKUP(AL$3,$V$3:$AG$94,ROWS($A$3:C12),FALSE)),HLOOKUP(AL$3,$V$3:$AG$94,ROWS($A$3:C12),FALSE)+CODE(LEFT($AK12))/1000,"")</f>
        <v>10968.2148</v>
      </c>
      <c r="AM12" s="3">
        <f>IF(ISNUMBER(HLOOKUP(AM$3,$V$3:$AG$94,ROWS($A$3:D12),FALSE)),HLOOKUP(AM$3,$V$3:$AG$94,ROWS($A$3:D12),FALSE)+CODE(LEFT($AK12))/1000,"")</f>
        <v>12270.958</v>
      </c>
      <c r="AN12" s="3">
        <f>IF(ISNUMBER(HLOOKUP(AN$3,$V$3:$AG$94,ROWS($A$3:E12),FALSE)),HLOOKUP(AN$3,$V$3:$AG$94,ROWS($A$3:E12),FALSE)+CODE(LEFT($AK12))/1000,"")</f>
        <v>14107.202</v>
      </c>
      <c r="AO12" s="3">
        <f>IF(ISNUMBER(HLOOKUP(AO$3,$V$3:$AG$94,ROWS($A$3:F12),FALSE)),HLOOKUP(AO$3,$V$3:$AG$94,ROWS($A$3:F12),FALSE)+CODE(LEFT($AK12))/1000,"")</f>
        <v>15757.393199999999</v>
      </c>
      <c r="AP12" s="3" t="b">
        <f t="shared" si="18"/>
        <v>0</v>
      </c>
    </row>
    <row r="13" spans="1:42" ht="12.75">
      <c r="A13" t="b">
        <f t="shared" si="1"/>
        <v>0</v>
      </c>
      <c r="B13" t="s">
        <v>1310</v>
      </c>
      <c r="C13" t="s">
        <v>1308</v>
      </c>
      <c r="D13">
        <f t="shared" si="2"/>
        <v>0.6429</v>
      </c>
      <c r="E13">
        <v>8199</v>
      </c>
      <c r="F13">
        <v>9099</v>
      </c>
      <c r="G13">
        <v>10299</v>
      </c>
      <c r="H13">
        <v>11499</v>
      </c>
      <c r="I13">
        <v>4999</v>
      </c>
      <c r="J13">
        <v>5899</v>
      </c>
      <c r="K13">
        <v>6599</v>
      </c>
      <c r="L13">
        <v>7599</v>
      </c>
      <c r="M13">
        <v>1949</v>
      </c>
      <c r="N13">
        <v>2349</v>
      </c>
      <c r="O13">
        <v>2849</v>
      </c>
      <c r="P13">
        <v>3299</v>
      </c>
      <c r="Q13" s="45">
        <v>39563</v>
      </c>
      <c r="T13" s="4">
        <f t="shared" si="3"/>
        <v>0.6429</v>
      </c>
      <c r="V13" s="3">
        <f t="shared" si="16"/>
        <v>12753.149790013998</v>
      </c>
      <c r="W13" s="3">
        <f t="shared" si="4"/>
        <v>14153.056462902472</v>
      </c>
      <c r="X13" s="3">
        <f t="shared" si="5"/>
        <v>16019.598693420437</v>
      </c>
      <c r="Y13" s="3">
        <f t="shared" si="6"/>
        <v>17886.140923938405</v>
      </c>
      <c r="Z13" s="3">
        <f t="shared" si="7"/>
        <v>7775.703841966091</v>
      </c>
      <c r="AA13" s="3">
        <f t="shared" si="8"/>
        <v>9175.610514854565</v>
      </c>
      <c r="AB13" s="3">
        <f t="shared" si="9"/>
        <v>10264.426815990044</v>
      </c>
      <c r="AC13" s="3">
        <f t="shared" si="10"/>
        <v>11819.878674755017</v>
      </c>
      <c r="AD13" s="3">
        <f t="shared" si="11"/>
        <v>3031.575672732929</v>
      </c>
      <c r="AE13" s="3">
        <f t="shared" si="12"/>
        <v>3653.756416238917</v>
      </c>
      <c r="AF13" s="3">
        <f t="shared" si="13"/>
        <v>4431.482345621403</v>
      </c>
      <c r="AG13" s="3">
        <f t="shared" si="14"/>
        <v>5131.435682065639</v>
      </c>
      <c r="AH13" s="3"/>
      <c r="AI13">
        <f t="shared" si="15"/>
        <v>22</v>
      </c>
      <c r="AJ13" s="3">
        <f>IF(ISNUMBER(HLOOKUP(listkey,$V$3:$AG$94,ROWS($A$3:C13),FALSE)),HLOOKUP(listkey,$V$3:$AG$94,ROWS($A$3:C13),FALSE)+CODE(LEFT($AK13))/1000+CODE(MID($AK13,2,1))/10000+CODE(RIGHT($AK13))/5000,"")</f>
        <v>14153.154362902473</v>
      </c>
      <c r="AK13" t="str">
        <f t="shared" si="17"/>
        <v>Belgium</v>
      </c>
      <c r="AL13" s="3">
        <f>IF(ISNUMBER(HLOOKUP(AL$3,$V$3:$AG$94,ROWS($A$3:C13),FALSE)),HLOOKUP(AL$3,$V$3:$AG$94,ROWS($A$3:C13),FALSE)+CODE(LEFT($AK13))/1000,"")</f>
        <v>12753.215790014</v>
      </c>
      <c r="AM13" s="3">
        <f>IF(ISNUMBER(HLOOKUP(AM$3,$V$3:$AG$94,ROWS($A$3:D13),FALSE)),HLOOKUP(AM$3,$V$3:$AG$94,ROWS($A$3:D13),FALSE)+CODE(LEFT($AK13))/1000,"")</f>
        <v>14153.122462902473</v>
      </c>
      <c r="AN13" s="3">
        <f>IF(ISNUMBER(HLOOKUP(AN$3,$V$3:$AG$94,ROWS($A$3:E13),FALSE)),HLOOKUP(AN$3,$V$3:$AG$94,ROWS($A$3:E13),FALSE)+CODE(LEFT($AK13))/1000,"")</f>
        <v>16019.664693420438</v>
      </c>
      <c r="AO13" s="3">
        <f>IF(ISNUMBER(HLOOKUP(AO$3,$V$3:$AG$94,ROWS($A$3:F13),FALSE)),HLOOKUP(AO$3,$V$3:$AG$94,ROWS($A$3:F13),FALSE)+CODE(LEFT($AK13))/1000,"")</f>
        <v>17886.206923938404</v>
      </c>
      <c r="AP13" s="3" t="b">
        <f t="shared" si="18"/>
        <v>0</v>
      </c>
    </row>
    <row r="14" spans="1:42" ht="12.75">
      <c r="A14" t="b">
        <f t="shared" si="1"/>
        <v>1</v>
      </c>
      <c r="B14" t="s">
        <v>1311</v>
      </c>
      <c r="C14" t="s">
        <v>1308</v>
      </c>
      <c r="D14">
        <f t="shared" si="2"/>
        <v>0.6429</v>
      </c>
      <c r="E14">
        <v>6900</v>
      </c>
      <c r="F14">
        <v>7700</v>
      </c>
      <c r="G14">
        <v>8700</v>
      </c>
      <c r="H14">
        <v>9800</v>
      </c>
      <c r="I14">
        <v>4800</v>
      </c>
      <c r="J14">
        <v>5200</v>
      </c>
      <c r="K14">
        <v>5900</v>
      </c>
      <c r="L14">
        <v>6800</v>
      </c>
      <c r="M14">
        <v>1810</v>
      </c>
      <c r="N14">
        <v>2250</v>
      </c>
      <c r="O14">
        <v>2790</v>
      </c>
      <c r="P14">
        <v>3260</v>
      </c>
      <c r="Q14" s="45">
        <v>39563</v>
      </c>
      <c r="T14" s="4">
        <f t="shared" si="3"/>
        <v>0.6429</v>
      </c>
      <c r="V14" s="3">
        <f t="shared" si="16"/>
        <v>10732.6178254783</v>
      </c>
      <c r="W14" s="3">
        <f t="shared" si="4"/>
        <v>11976.979312490277</v>
      </c>
      <c r="X14" s="3">
        <f t="shared" si="5"/>
        <v>13532.43117125525</v>
      </c>
      <c r="Y14" s="3">
        <f t="shared" si="6"/>
        <v>15243.428215896718</v>
      </c>
      <c r="Z14" s="3">
        <f t="shared" si="7"/>
        <v>7466.168922071862</v>
      </c>
      <c r="AA14" s="3">
        <f t="shared" si="8"/>
        <v>8088.34966557785</v>
      </c>
      <c r="AB14" s="3">
        <f t="shared" si="9"/>
        <v>9177.16596671333</v>
      </c>
      <c r="AC14" s="3">
        <f t="shared" si="10"/>
        <v>10577.072639601804</v>
      </c>
      <c r="AD14" s="3">
        <f t="shared" si="11"/>
        <v>2815.3678643645976</v>
      </c>
      <c r="AE14" s="3">
        <f t="shared" si="12"/>
        <v>3499.766682221185</v>
      </c>
      <c r="AF14" s="3">
        <f t="shared" si="13"/>
        <v>4339.710685954269</v>
      </c>
      <c r="AG14" s="3">
        <f t="shared" si="14"/>
        <v>5070.773059573806</v>
      </c>
      <c r="AH14" s="3"/>
      <c r="AI14">
        <f t="shared" si="15"/>
        <v>48</v>
      </c>
      <c r="AJ14" s="3">
        <f>IF(ISNUMBER(HLOOKUP(listkey,$V$3:$AG$94,ROWS($A$3:C14),FALSE)),HLOOKUP(listkey,$V$3:$AG$94,ROWS($A$3:C14),FALSE)+CODE(LEFT($AK14))/1000+CODE(MID($AK14,2,1))/10000+CODE(RIGHT($AK14))/5000,"")</f>
        <v>11977.076412490276</v>
      </c>
      <c r="AK14" t="str">
        <f t="shared" si="17"/>
        <v>Bulgaria</v>
      </c>
      <c r="AL14" s="3">
        <f>IF(ISNUMBER(HLOOKUP(AL$3,$V$3:$AG$94,ROWS($A$3:C14),FALSE)),HLOOKUP(AL$3,$V$3:$AG$94,ROWS($A$3:C14),FALSE)+CODE(LEFT($AK14))/1000,"")</f>
        <v>10732.683825478302</v>
      </c>
      <c r="AM14" s="3">
        <f>IF(ISNUMBER(HLOOKUP(AM$3,$V$3:$AG$94,ROWS($A$3:D14),FALSE)),HLOOKUP(AM$3,$V$3:$AG$94,ROWS($A$3:D14),FALSE)+CODE(LEFT($AK14))/1000,"")</f>
        <v>11977.045312490278</v>
      </c>
      <c r="AN14" s="3">
        <f>IF(ISNUMBER(HLOOKUP(AN$3,$V$3:$AG$94,ROWS($A$3:E14),FALSE)),HLOOKUP(AN$3,$V$3:$AG$94,ROWS($A$3:E14),FALSE)+CODE(LEFT($AK14))/1000,"")</f>
        <v>13532.49717125525</v>
      </c>
      <c r="AO14" s="3">
        <f>IF(ISNUMBER(HLOOKUP(AO$3,$V$3:$AG$94,ROWS($A$3:F14),FALSE)),HLOOKUP(AO$3,$V$3:$AG$94,ROWS($A$3:F14),FALSE)+CODE(LEFT($AK14))/1000,"")</f>
        <v>15243.494215896719</v>
      </c>
      <c r="AP14" s="3" t="b">
        <f t="shared" si="18"/>
        <v>1</v>
      </c>
    </row>
    <row r="15" spans="1:42" ht="12.75">
      <c r="A15" t="b">
        <f t="shared" si="1"/>
        <v>0</v>
      </c>
      <c r="B15" t="s">
        <v>1355</v>
      </c>
      <c r="C15" t="s">
        <v>1356</v>
      </c>
      <c r="D15">
        <f t="shared" si="2"/>
        <v>1.0119</v>
      </c>
      <c r="E15">
        <v>12700</v>
      </c>
      <c r="F15">
        <v>13700</v>
      </c>
      <c r="G15">
        <v>15800</v>
      </c>
      <c r="H15">
        <v>18500</v>
      </c>
      <c r="I15">
        <v>9200</v>
      </c>
      <c r="J15">
        <v>10100</v>
      </c>
      <c r="K15">
        <v>11600</v>
      </c>
      <c r="L15">
        <v>13100</v>
      </c>
      <c r="M15">
        <v>3900</v>
      </c>
      <c r="N15">
        <v>4400</v>
      </c>
      <c r="O15">
        <v>5100</v>
      </c>
      <c r="P15">
        <v>6000</v>
      </c>
      <c r="Q15" s="45">
        <v>39563</v>
      </c>
      <c r="T15" s="4">
        <f t="shared" si="3"/>
        <v>1.0119</v>
      </c>
      <c r="V15" s="3">
        <f t="shared" si="16"/>
        <v>12550.64729716375</v>
      </c>
      <c r="W15" s="3">
        <f t="shared" si="4"/>
        <v>13538.887241822315</v>
      </c>
      <c r="X15" s="3">
        <f t="shared" si="5"/>
        <v>15614.191125605297</v>
      </c>
      <c r="Y15" s="3">
        <f t="shared" si="6"/>
        <v>18282.438976183417</v>
      </c>
      <c r="Z15" s="3">
        <f t="shared" si="7"/>
        <v>9091.80749085878</v>
      </c>
      <c r="AA15" s="3">
        <f t="shared" si="8"/>
        <v>9981.223441051487</v>
      </c>
      <c r="AB15" s="3">
        <f t="shared" si="9"/>
        <v>11463.583358039332</v>
      </c>
      <c r="AC15" s="3">
        <f t="shared" si="10"/>
        <v>12945.943275027177</v>
      </c>
      <c r="AD15" s="3">
        <f t="shared" si="11"/>
        <v>3854.135784168396</v>
      </c>
      <c r="AE15" s="3">
        <f t="shared" si="12"/>
        <v>4348.255756497678</v>
      </c>
      <c r="AF15" s="3">
        <f t="shared" si="13"/>
        <v>5040.023717758671</v>
      </c>
      <c r="AG15" s="3">
        <f t="shared" si="14"/>
        <v>5929.439667951378</v>
      </c>
      <c r="AH15" s="3"/>
      <c r="AI15">
        <f t="shared" si="15"/>
        <v>29</v>
      </c>
      <c r="AJ15" s="3">
        <f>IF(ISNUMBER(HLOOKUP(listkey,$V$3:$AG$94,ROWS($A$3:C15),FALSE)),HLOOKUP(listkey,$V$3:$AG$94,ROWS($A$3:C15),FALSE)+CODE(LEFT($AK15))/1000+CODE(MID($AK15,2,1))/10000+CODE(RIGHT($AK15))/5000,"")</f>
        <v>13538.983341822313</v>
      </c>
      <c r="AK15" t="str">
        <f t="shared" si="17"/>
        <v>Canada</v>
      </c>
      <c r="AL15" s="3">
        <f>IF(ISNUMBER(HLOOKUP(AL$3,$V$3:$AG$94,ROWS($A$3:C15),FALSE)),HLOOKUP(AL$3,$V$3:$AG$94,ROWS($A$3:C15),FALSE)+CODE(LEFT($AK15))/1000,"")</f>
        <v>12550.71429716375</v>
      </c>
      <c r="AM15" s="3">
        <f>IF(ISNUMBER(HLOOKUP(AM$3,$V$3:$AG$94,ROWS($A$3:D15),FALSE)),HLOOKUP(AM$3,$V$3:$AG$94,ROWS($A$3:D15),FALSE)+CODE(LEFT($AK15))/1000,"")</f>
        <v>13538.954241822314</v>
      </c>
      <c r="AN15" s="3">
        <f>IF(ISNUMBER(HLOOKUP(AN$3,$V$3:$AG$94,ROWS($A$3:E15),FALSE)),HLOOKUP(AN$3,$V$3:$AG$94,ROWS($A$3:E15),FALSE)+CODE(LEFT($AK15))/1000,"")</f>
        <v>15614.258125605296</v>
      </c>
      <c r="AO15" s="3">
        <f>IF(ISNUMBER(HLOOKUP(AO$3,$V$3:$AG$94,ROWS($A$3:F15),FALSE)),HLOOKUP(AO$3,$V$3:$AG$94,ROWS($A$3:F15),FALSE)+CODE(LEFT($AK15))/1000,"")</f>
        <v>18282.505976183416</v>
      </c>
      <c r="AP15" s="3" t="b">
        <f t="shared" si="18"/>
        <v>0</v>
      </c>
    </row>
    <row r="16" spans="1:42" ht="12.75">
      <c r="A16" t="b">
        <f t="shared" si="1"/>
        <v>0</v>
      </c>
      <c r="B16" t="s">
        <v>1268</v>
      </c>
      <c r="C16" t="s">
        <v>1269</v>
      </c>
      <c r="D16">
        <f t="shared" si="2"/>
        <v>6.9985</v>
      </c>
      <c r="E16">
        <v>74610</v>
      </c>
      <c r="F16">
        <v>84560</v>
      </c>
      <c r="G16">
        <v>97230</v>
      </c>
      <c r="H16">
        <v>109770</v>
      </c>
      <c r="I16">
        <v>52650</v>
      </c>
      <c r="J16">
        <v>59330</v>
      </c>
      <c r="K16">
        <v>69060</v>
      </c>
      <c r="L16">
        <v>77030</v>
      </c>
      <c r="M16">
        <v>23060</v>
      </c>
      <c r="N16">
        <v>26350</v>
      </c>
      <c r="O16">
        <v>30300</v>
      </c>
      <c r="P16">
        <v>34830</v>
      </c>
      <c r="Q16" s="45">
        <v>39563</v>
      </c>
      <c r="T16" s="4">
        <f t="shared" si="3"/>
        <v>6.9985</v>
      </c>
      <c r="V16" s="3">
        <f t="shared" si="16"/>
        <v>10660.855897692363</v>
      </c>
      <c r="W16" s="3">
        <f t="shared" si="4"/>
        <v>12082.589126241337</v>
      </c>
      <c r="X16" s="3">
        <f t="shared" si="5"/>
        <v>13892.977066514253</v>
      </c>
      <c r="Y16" s="3">
        <f t="shared" si="6"/>
        <v>15684.78959777095</v>
      </c>
      <c r="Z16" s="3">
        <f t="shared" si="7"/>
        <v>7523.040651568193</v>
      </c>
      <c r="AA16" s="3">
        <f t="shared" si="8"/>
        <v>8477.53089947846</v>
      </c>
      <c r="AB16" s="3">
        <f t="shared" si="9"/>
        <v>9867.828820461527</v>
      </c>
      <c r="AC16" s="3">
        <f t="shared" si="10"/>
        <v>11006.644280917339</v>
      </c>
      <c r="AD16" s="3">
        <f t="shared" si="11"/>
        <v>3294.9917839537043</v>
      </c>
      <c r="AE16" s="3">
        <f t="shared" si="12"/>
        <v>3765.092519825677</v>
      </c>
      <c r="AF16" s="3">
        <f t="shared" si="13"/>
        <v>4329.49917839537</v>
      </c>
      <c r="AG16" s="3">
        <f t="shared" si="14"/>
        <v>4976.780738729728</v>
      </c>
      <c r="AH16" s="3"/>
      <c r="AI16">
        <f t="shared" si="15"/>
        <v>43</v>
      </c>
      <c r="AJ16" s="3">
        <f>IF(ISNUMBER(HLOOKUP(listkey,$V$3:$AG$94,ROWS($A$3:C16),FALSE)),HLOOKUP(listkey,$V$3:$AG$94,ROWS($A$3:C16),FALSE)+CODE(LEFT($AK16))/1000+CODE(MID($AK16,2,1))/10000+CODE(RIGHT($AK16))/5000,"")</f>
        <v>12082.685926241335</v>
      </c>
      <c r="AK16" t="str">
        <f t="shared" si="17"/>
        <v>China</v>
      </c>
      <c r="AL16" s="3">
        <f>IF(ISNUMBER(HLOOKUP(AL$3,$V$3:$AG$94,ROWS($A$3:C16),FALSE)),HLOOKUP(AL$3,$V$3:$AG$94,ROWS($A$3:C16),FALSE)+CODE(LEFT($AK16))/1000,"")</f>
        <v>10660.922897692362</v>
      </c>
      <c r="AM16" s="3">
        <f>IF(ISNUMBER(HLOOKUP(AM$3,$V$3:$AG$94,ROWS($A$3:D16),FALSE)),HLOOKUP(AM$3,$V$3:$AG$94,ROWS($A$3:D16),FALSE)+CODE(LEFT($AK16))/1000,"")</f>
        <v>12082.656126241336</v>
      </c>
      <c r="AN16" s="3">
        <f>IF(ISNUMBER(HLOOKUP(AN$3,$V$3:$AG$94,ROWS($A$3:E16),FALSE)),HLOOKUP(AN$3,$V$3:$AG$94,ROWS($A$3:E16),FALSE)+CODE(LEFT($AK16))/1000,"")</f>
        <v>13893.044066514252</v>
      </c>
      <c r="AO16" s="3">
        <f>IF(ISNUMBER(HLOOKUP(AO$3,$V$3:$AG$94,ROWS($A$3:F16),FALSE)),HLOOKUP(AO$3,$V$3:$AG$94,ROWS($A$3:F16),FALSE)+CODE(LEFT($AK16))/1000,"")</f>
        <v>15684.85659777095</v>
      </c>
      <c r="AP16" s="3" t="b">
        <f t="shared" si="18"/>
        <v>0</v>
      </c>
    </row>
    <row r="17" spans="1:42" ht="12.75">
      <c r="A17" t="b">
        <f t="shared" si="1"/>
        <v>1</v>
      </c>
      <c r="B17" t="s">
        <v>1312</v>
      </c>
      <c r="C17" t="s">
        <v>1308</v>
      </c>
      <c r="D17">
        <f t="shared" si="2"/>
        <v>0.6429</v>
      </c>
      <c r="E17">
        <v>6900</v>
      </c>
      <c r="F17">
        <v>7700</v>
      </c>
      <c r="G17">
        <v>8700</v>
      </c>
      <c r="H17">
        <v>9800</v>
      </c>
      <c r="I17">
        <v>4800</v>
      </c>
      <c r="J17">
        <v>5200</v>
      </c>
      <c r="K17">
        <v>5900</v>
      </c>
      <c r="L17">
        <v>6800</v>
      </c>
      <c r="M17">
        <v>1810</v>
      </c>
      <c r="N17">
        <v>2250</v>
      </c>
      <c r="O17">
        <v>2790</v>
      </c>
      <c r="P17">
        <v>3260</v>
      </c>
      <c r="Q17" s="45">
        <v>39563</v>
      </c>
      <c r="T17" s="4">
        <f t="shared" si="3"/>
        <v>0.6429</v>
      </c>
      <c r="V17" s="3">
        <f t="shared" si="16"/>
        <v>10732.6178254783</v>
      </c>
      <c r="W17" s="3">
        <f t="shared" si="4"/>
        <v>11976.979312490277</v>
      </c>
      <c r="X17" s="3">
        <f t="shared" si="5"/>
        <v>13532.43117125525</v>
      </c>
      <c r="Y17" s="3">
        <f t="shared" si="6"/>
        <v>15243.428215896718</v>
      </c>
      <c r="Z17" s="3">
        <f t="shared" si="7"/>
        <v>7466.168922071862</v>
      </c>
      <c r="AA17" s="3">
        <f t="shared" si="8"/>
        <v>8088.34966557785</v>
      </c>
      <c r="AB17" s="3">
        <f t="shared" si="9"/>
        <v>9177.16596671333</v>
      </c>
      <c r="AC17" s="3">
        <f t="shared" si="10"/>
        <v>10577.072639601804</v>
      </c>
      <c r="AD17" s="3">
        <f t="shared" si="11"/>
        <v>2815.3678643645976</v>
      </c>
      <c r="AE17" s="3">
        <f t="shared" si="12"/>
        <v>3499.766682221185</v>
      </c>
      <c r="AF17" s="3">
        <f t="shared" si="13"/>
        <v>4339.710685954269</v>
      </c>
      <c r="AG17" s="3">
        <f t="shared" si="14"/>
        <v>5070.773059573806</v>
      </c>
      <c r="AH17" s="3"/>
      <c r="AI17">
        <f t="shared" si="15"/>
        <v>47</v>
      </c>
      <c r="AJ17" s="3">
        <f>IF(ISNUMBER(HLOOKUP(listkey,$V$3:$AG$94,ROWS($A$3:C17),FALSE)),HLOOKUP(listkey,$V$3:$AG$94,ROWS($A$3:C17),FALSE)+CODE(LEFT($AK17))/1000+CODE(MID($AK17,2,1))/10000+CODE(RIGHT($AK17))/5000,"")</f>
        <v>11977.077112490275</v>
      </c>
      <c r="AK17" t="str">
        <f t="shared" si="17"/>
        <v>Croatia</v>
      </c>
      <c r="AL17" s="3">
        <f>IF(ISNUMBER(HLOOKUP(AL$3,$V$3:$AG$94,ROWS($A$3:C17),FALSE)),HLOOKUP(AL$3,$V$3:$AG$94,ROWS($A$3:C17),FALSE)+CODE(LEFT($AK17))/1000,"")</f>
        <v>10732.6848254783</v>
      </c>
      <c r="AM17" s="3">
        <f>IF(ISNUMBER(HLOOKUP(AM$3,$V$3:$AG$94,ROWS($A$3:D17),FALSE)),HLOOKUP(AM$3,$V$3:$AG$94,ROWS($A$3:D17),FALSE)+CODE(LEFT($AK17))/1000,"")</f>
        <v>11977.046312490276</v>
      </c>
      <c r="AN17" s="3">
        <f>IF(ISNUMBER(HLOOKUP(AN$3,$V$3:$AG$94,ROWS($A$3:E17),FALSE)),HLOOKUP(AN$3,$V$3:$AG$94,ROWS($A$3:E17),FALSE)+CODE(LEFT($AK17))/1000,"")</f>
        <v>13532.498171255249</v>
      </c>
      <c r="AO17" s="3">
        <f>IF(ISNUMBER(HLOOKUP(AO$3,$V$3:$AG$94,ROWS($A$3:F17),FALSE)),HLOOKUP(AO$3,$V$3:$AG$94,ROWS($A$3:F17),FALSE)+CODE(LEFT($AK17))/1000,"")</f>
        <v>15243.495215896717</v>
      </c>
      <c r="AP17" s="3" t="b">
        <f t="shared" si="18"/>
        <v>1</v>
      </c>
    </row>
    <row r="18" spans="1:42" ht="12.75">
      <c r="A18" t="b">
        <f t="shared" si="1"/>
        <v>1</v>
      </c>
      <c r="B18" t="s">
        <v>1313</v>
      </c>
      <c r="C18" t="s">
        <v>1314</v>
      </c>
      <c r="D18">
        <f t="shared" si="2"/>
        <v>0.6429</v>
      </c>
      <c r="E18">
        <v>8350.172656349916</v>
      </c>
      <c r="F18">
        <v>9266.530246834633</v>
      </c>
      <c r="G18">
        <v>10488.553523468474</v>
      </c>
      <c r="H18">
        <v>11710.576800102313</v>
      </c>
      <c r="I18">
        <v>5090.80445069702</v>
      </c>
      <c r="J18">
        <v>6007.801509144391</v>
      </c>
      <c r="K18">
        <v>6720.808287504796</v>
      </c>
      <c r="L18">
        <v>7738.8412840516685</v>
      </c>
      <c r="M18">
        <v>1984.9085560813403</v>
      </c>
      <c r="N18">
        <v>2392.2496482926203</v>
      </c>
      <c r="O18">
        <v>2901.2661465660567</v>
      </c>
      <c r="P18">
        <v>3359.764675789743</v>
      </c>
      <c r="Q18" s="45">
        <v>39563</v>
      </c>
      <c r="T18" s="4">
        <f t="shared" si="3"/>
        <v>0.6429</v>
      </c>
      <c r="V18" s="3">
        <f t="shared" si="16"/>
        <v>12988.291579327913</v>
      </c>
      <c r="W18" s="3">
        <f t="shared" si="4"/>
        <v>14413.641696740757</v>
      </c>
      <c r="X18" s="3">
        <f t="shared" si="5"/>
        <v>16314.440073834925</v>
      </c>
      <c r="Y18" s="3">
        <f t="shared" si="6"/>
        <v>18215.238450929093</v>
      </c>
      <c r="Z18" s="3">
        <f t="shared" si="7"/>
        <v>7918.501245445667</v>
      </c>
      <c r="AA18" s="3">
        <f t="shared" si="8"/>
        <v>9344.846024489641</v>
      </c>
      <c r="AB18" s="3">
        <f t="shared" si="9"/>
        <v>10453.893743202358</v>
      </c>
      <c r="AC18" s="3">
        <f t="shared" si="10"/>
        <v>12037.395059965263</v>
      </c>
      <c r="AD18" s="3">
        <f t="shared" si="11"/>
        <v>3087.429703035216</v>
      </c>
      <c r="AE18" s="3">
        <f t="shared" si="12"/>
        <v>3721.029162066605</v>
      </c>
      <c r="AF18" s="3">
        <f t="shared" si="13"/>
        <v>4512.779820448058</v>
      </c>
      <c r="AG18" s="3">
        <f t="shared" si="14"/>
        <v>5225.952209970046</v>
      </c>
      <c r="AH18" s="3"/>
      <c r="AI18">
        <f t="shared" si="15"/>
        <v>12</v>
      </c>
      <c r="AJ18" s="3">
        <f>IF(ISNUMBER(HLOOKUP(listkey,$V$3:$AG$94,ROWS($A$3:C18),FALSE)),HLOOKUP(listkey,$V$3:$AG$94,ROWS($A$3:C18),FALSE)+CODE(LEFT($AK18))/1000+CODE(MID($AK18,2,1))/10000+CODE(RIGHT($AK18))/5000,"")</f>
        <v>14413.743796740755</v>
      </c>
      <c r="AK18" t="str">
        <f t="shared" si="17"/>
        <v>Cyprus</v>
      </c>
      <c r="AL18" s="3">
        <f>IF(ISNUMBER(HLOOKUP(AL$3,$V$3:$AG$94,ROWS($A$3:C18),FALSE)),HLOOKUP(AL$3,$V$3:$AG$94,ROWS($A$3:C18),FALSE)+CODE(LEFT($AK18))/1000,"")</f>
        <v>12988.358579327913</v>
      </c>
      <c r="AM18" s="3">
        <f>IF(ISNUMBER(HLOOKUP(AM$3,$V$3:$AG$94,ROWS($A$3:D18),FALSE)),HLOOKUP(AM$3,$V$3:$AG$94,ROWS($A$3:D18),FALSE)+CODE(LEFT($AK18))/1000,"")</f>
        <v>14413.708696740756</v>
      </c>
      <c r="AN18" s="3">
        <f>IF(ISNUMBER(HLOOKUP(AN$3,$V$3:$AG$94,ROWS($A$3:E18),FALSE)),HLOOKUP(AN$3,$V$3:$AG$94,ROWS($A$3:E18),FALSE)+CODE(LEFT($AK18))/1000,"")</f>
        <v>16314.507073834924</v>
      </c>
      <c r="AO18" s="3">
        <f>IF(ISNUMBER(HLOOKUP(AO$3,$V$3:$AG$94,ROWS($A$3:F18),FALSE)),HLOOKUP(AO$3,$V$3:$AG$94,ROWS($A$3:F18),FALSE)+CODE(LEFT($AK18))/1000,"")</f>
        <v>18215.305450929092</v>
      </c>
      <c r="AP18" s="3" t="b">
        <f t="shared" si="18"/>
        <v>1</v>
      </c>
    </row>
    <row r="19" spans="1:42" ht="12.75">
      <c r="A19" t="b">
        <f t="shared" si="1"/>
        <v>1</v>
      </c>
      <c r="B19" t="s">
        <v>1360</v>
      </c>
      <c r="C19" t="s">
        <v>1315</v>
      </c>
      <c r="D19">
        <f t="shared" si="2"/>
        <v>16.3353</v>
      </c>
      <c r="E19">
        <v>262636.9154068833</v>
      </c>
      <c r="F19">
        <v>299732.5249276295</v>
      </c>
      <c r="G19">
        <v>353854.3904792538</v>
      </c>
      <c r="H19">
        <v>385920.0868446446</v>
      </c>
      <c r="I19">
        <v>167420.65937600515</v>
      </c>
      <c r="J19">
        <v>192872.0199421036</v>
      </c>
      <c r="K19">
        <v>227050.27983274366</v>
      </c>
      <c r="L19">
        <v>250213.02991315536</v>
      </c>
      <c r="M19">
        <v>62446.37182373754</v>
      </c>
      <c r="N19">
        <v>76178.03473785784</v>
      </c>
      <c r="O19">
        <v>90136.04374396913</v>
      </c>
      <c r="P19">
        <v>113173.04599549696</v>
      </c>
      <c r="Q19" s="45">
        <v>39563</v>
      </c>
      <c r="T19" s="4">
        <f t="shared" si="3"/>
        <v>16.3353</v>
      </c>
      <c r="V19" s="3">
        <f t="shared" si="16"/>
        <v>16077.875239933352</v>
      </c>
      <c r="W19" s="3">
        <f t="shared" si="4"/>
        <v>18348.76157325727</v>
      </c>
      <c r="X19" s="3">
        <f t="shared" si="5"/>
        <v>21661.946243977996</v>
      </c>
      <c r="Y19" s="3">
        <f t="shared" si="6"/>
        <v>23624.915786342743</v>
      </c>
      <c r="Z19" s="3">
        <f t="shared" si="7"/>
        <v>10249.010387076158</v>
      </c>
      <c r="AA19" s="3">
        <f t="shared" si="8"/>
        <v>11807.069349329586</v>
      </c>
      <c r="AB19" s="3">
        <f t="shared" si="9"/>
        <v>13899.363943897184</v>
      </c>
      <c r="AC19" s="3">
        <f t="shared" si="10"/>
        <v>15317.320766264185</v>
      </c>
      <c r="AD19" s="3">
        <f t="shared" si="11"/>
        <v>3822.7869597581644</v>
      </c>
      <c r="AE19" s="3">
        <f t="shared" si="12"/>
        <v>4663.399799076714</v>
      </c>
      <c r="AF19" s="3">
        <f t="shared" si="13"/>
        <v>5517.868893988426</v>
      </c>
      <c r="AG19" s="3">
        <f t="shared" si="14"/>
        <v>6928.12779658145</v>
      </c>
      <c r="AH19" s="3"/>
      <c r="AI19">
        <f t="shared" si="15"/>
        <v>1</v>
      </c>
      <c r="AJ19" s="3">
        <f>IF(ISNUMBER(HLOOKUP(listkey,$V$3:$AG$94,ROWS($A$3:C19),FALSE)),HLOOKUP(listkey,$V$3:$AG$94,ROWS($A$3:C19),FALSE)+CODE(LEFT($AK19))/1000+CODE(MID($AK19,2,1))/10000+CODE(RIGHT($AK19))/5000,"")</f>
        <v>18348.86057325727</v>
      </c>
      <c r="AK19" t="str">
        <f t="shared" si="17"/>
        <v>Czech Republic</v>
      </c>
      <c r="AL19" s="3">
        <f>IF(ISNUMBER(HLOOKUP(AL$3,$V$3:$AG$94,ROWS($A$3:C19),FALSE)),HLOOKUP(AL$3,$V$3:$AG$94,ROWS($A$3:C19),FALSE)+CODE(LEFT($AK19))/1000,"")</f>
        <v>16077.94223993335</v>
      </c>
      <c r="AM19" s="3">
        <f>IF(ISNUMBER(HLOOKUP(AM$3,$V$3:$AG$94,ROWS($A$3:D19),FALSE)),HLOOKUP(AM$3,$V$3:$AG$94,ROWS($A$3:D19),FALSE)+CODE(LEFT($AK19))/1000,"")</f>
        <v>18348.82857325727</v>
      </c>
      <c r="AN19" s="3">
        <f>IF(ISNUMBER(HLOOKUP(AN$3,$V$3:$AG$94,ROWS($A$3:E19),FALSE)),HLOOKUP(AN$3,$V$3:$AG$94,ROWS($A$3:E19),FALSE)+CODE(LEFT($AK19))/1000,"")</f>
        <v>21662.013243977995</v>
      </c>
      <c r="AO19" s="3">
        <f>IF(ISNUMBER(HLOOKUP(AO$3,$V$3:$AG$94,ROWS($A$3:F19),FALSE)),HLOOKUP(AO$3,$V$3:$AG$94,ROWS($A$3:F19),FALSE)+CODE(LEFT($AK19))/1000,"")</f>
        <v>23624.98278634274</v>
      </c>
      <c r="AP19" s="3" t="b">
        <f t="shared" si="18"/>
        <v>1</v>
      </c>
    </row>
    <row r="20" spans="1:42" ht="12.75">
      <c r="A20" t="b">
        <f t="shared" si="1"/>
        <v>0</v>
      </c>
      <c r="B20" t="s">
        <v>1282</v>
      </c>
      <c r="C20" t="s">
        <v>1316</v>
      </c>
      <c r="D20">
        <f t="shared" si="2"/>
        <v>4.8109</v>
      </c>
      <c r="E20">
        <v>51900</v>
      </c>
      <c r="F20">
        <v>58490</v>
      </c>
      <c r="G20">
        <v>67500</v>
      </c>
      <c r="H20">
        <v>74800</v>
      </c>
      <c r="I20">
        <v>33200</v>
      </c>
      <c r="J20">
        <v>37500</v>
      </c>
      <c r="K20">
        <v>44100</v>
      </c>
      <c r="L20">
        <v>49900</v>
      </c>
      <c r="M20">
        <v>13450</v>
      </c>
      <c r="N20">
        <v>16490</v>
      </c>
      <c r="O20">
        <v>18900</v>
      </c>
      <c r="P20">
        <v>22000</v>
      </c>
      <c r="Q20" s="45">
        <v>39563</v>
      </c>
      <c r="T20" s="4">
        <f t="shared" si="3"/>
        <v>4.8109</v>
      </c>
      <c r="V20" s="3">
        <f t="shared" si="16"/>
        <v>10788.002244902202</v>
      </c>
      <c r="W20" s="3">
        <f t="shared" si="4"/>
        <v>12157.80831029537</v>
      </c>
      <c r="X20" s="3">
        <f t="shared" si="5"/>
        <v>14030.638757820781</v>
      </c>
      <c r="Y20" s="3">
        <f t="shared" si="6"/>
        <v>15548.026356814733</v>
      </c>
      <c r="Z20" s="3">
        <f t="shared" si="7"/>
        <v>6900.995655698518</v>
      </c>
      <c r="AA20" s="3">
        <f t="shared" si="8"/>
        <v>7794.799309900434</v>
      </c>
      <c r="AB20" s="3">
        <f t="shared" si="9"/>
        <v>9166.68398844291</v>
      </c>
      <c r="AC20" s="3">
        <f t="shared" si="10"/>
        <v>10372.279615040845</v>
      </c>
      <c r="AD20" s="3">
        <f t="shared" si="11"/>
        <v>2795.7346858176224</v>
      </c>
      <c r="AE20" s="3">
        <f t="shared" si="12"/>
        <v>3427.6330832068843</v>
      </c>
      <c r="AF20" s="3">
        <f t="shared" si="13"/>
        <v>3928.578852189819</v>
      </c>
      <c r="AG20" s="3">
        <f t="shared" si="14"/>
        <v>4572.948928474922</v>
      </c>
      <c r="AH20" s="3"/>
      <c r="AI20">
        <f t="shared" si="15"/>
        <v>41</v>
      </c>
      <c r="AJ20" s="3">
        <f>IF(ISNUMBER(HLOOKUP(listkey,$V$3:$AG$94,ROWS($A$3:C20),FALSE)),HLOOKUP(listkey,$V$3:$AG$94,ROWS($A$3:C20),FALSE)+CODE(LEFT($AK20))/1000+CODE(MID($AK20,2,1))/10000+CODE(RIGHT($AK20))/5000,"")</f>
        <v>12157.907810295368</v>
      </c>
      <c r="AK20" t="str">
        <f t="shared" si="17"/>
        <v>Denmark</v>
      </c>
      <c r="AL20" s="3">
        <f>IF(ISNUMBER(HLOOKUP(AL$3,$V$3:$AG$94,ROWS($A$3:C20),FALSE)),HLOOKUP(AL$3,$V$3:$AG$94,ROWS($A$3:C20),FALSE)+CODE(LEFT($AK20))/1000,"")</f>
        <v>10788.070244902201</v>
      </c>
      <c r="AM20" s="3">
        <f>IF(ISNUMBER(HLOOKUP(AM$3,$V$3:$AG$94,ROWS($A$3:D20),FALSE)),HLOOKUP(AM$3,$V$3:$AG$94,ROWS($A$3:D20),FALSE)+CODE(LEFT($AK20))/1000,"")</f>
        <v>12157.876310295369</v>
      </c>
      <c r="AN20" s="3">
        <f>IF(ISNUMBER(HLOOKUP(AN$3,$V$3:$AG$94,ROWS($A$3:E20),FALSE)),HLOOKUP(AN$3,$V$3:$AG$94,ROWS($A$3:E20),FALSE)+CODE(LEFT($AK20))/1000,"")</f>
        <v>14030.70675782078</v>
      </c>
      <c r="AO20" s="3">
        <f>IF(ISNUMBER(HLOOKUP(AO$3,$V$3:$AG$94,ROWS($A$3:F20),FALSE)),HLOOKUP(AO$3,$V$3:$AG$94,ROWS($A$3:F20),FALSE)+CODE(LEFT($AK20))/1000,"")</f>
        <v>15548.094356814732</v>
      </c>
      <c r="AP20" s="3" t="b">
        <f t="shared" si="18"/>
        <v>0</v>
      </c>
    </row>
    <row r="21" spans="1:42" ht="12.75">
      <c r="A21" t="b">
        <f t="shared" si="1"/>
        <v>0</v>
      </c>
      <c r="B21" t="s">
        <v>1341</v>
      </c>
      <c r="C21" t="s">
        <v>1342</v>
      </c>
      <c r="D21">
        <f t="shared" si="2"/>
        <v>5.4864</v>
      </c>
      <c r="E21">
        <v>51000</v>
      </c>
      <c r="F21">
        <v>61500</v>
      </c>
      <c r="G21">
        <v>72000</v>
      </c>
      <c r="H21">
        <v>84000</v>
      </c>
      <c r="I21">
        <v>36500</v>
      </c>
      <c r="J21">
        <v>40900</v>
      </c>
      <c r="K21">
        <v>48100</v>
      </c>
      <c r="L21">
        <v>54500</v>
      </c>
      <c r="M21">
        <v>16400</v>
      </c>
      <c r="N21">
        <v>18800</v>
      </c>
      <c r="O21">
        <v>22000</v>
      </c>
      <c r="P21">
        <v>26100</v>
      </c>
      <c r="Q21" s="45">
        <v>39563</v>
      </c>
      <c r="T21" s="4">
        <f t="shared" si="3"/>
        <v>5.4864</v>
      </c>
      <c r="V21" s="3">
        <f t="shared" si="16"/>
        <v>9295.713035870516</v>
      </c>
      <c r="W21" s="3">
        <f t="shared" si="4"/>
        <v>11209.536307961505</v>
      </c>
      <c r="X21" s="3">
        <f t="shared" si="5"/>
        <v>13123.359580052494</v>
      </c>
      <c r="Y21" s="3">
        <f t="shared" si="6"/>
        <v>15310.58617672791</v>
      </c>
      <c r="Z21" s="3">
        <f t="shared" si="7"/>
        <v>6652.814231554389</v>
      </c>
      <c r="AA21" s="3">
        <f t="shared" si="8"/>
        <v>7454.797317002041</v>
      </c>
      <c r="AB21" s="3">
        <f t="shared" si="9"/>
        <v>8767.13327500729</v>
      </c>
      <c r="AC21" s="3">
        <f t="shared" si="10"/>
        <v>9933.654126567513</v>
      </c>
      <c r="AD21" s="3">
        <f t="shared" si="11"/>
        <v>2989.209682123068</v>
      </c>
      <c r="AE21" s="3">
        <f t="shared" si="12"/>
        <v>3426.655001458151</v>
      </c>
      <c r="AF21" s="3">
        <f t="shared" si="13"/>
        <v>4009.915427238262</v>
      </c>
      <c r="AG21" s="3">
        <f t="shared" si="14"/>
        <v>4757.2178477690295</v>
      </c>
      <c r="AH21" s="3"/>
      <c r="AI21">
        <f t="shared" si="15"/>
        <v>56</v>
      </c>
      <c r="AJ21" s="3">
        <f>IF(ISNUMBER(HLOOKUP(listkey,$V$3:$AG$94,ROWS($A$3:C21),FALSE)),HLOOKUP(listkey,$V$3:$AG$94,ROWS($A$3:C21),FALSE)+CODE(LEFT($AK21))/1000+CODE(MID($AK21,2,1))/10000+CODE(RIGHT($AK21))/5000,"")</f>
        <v>11209.638807961504</v>
      </c>
      <c r="AK21" t="str">
        <f t="shared" si="17"/>
        <v>Egypt</v>
      </c>
      <c r="AL21" s="3">
        <f>IF(ISNUMBER(HLOOKUP(AL$3,$V$3:$AG$94,ROWS($A$3:C21),FALSE)),HLOOKUP(AL$3,$V$3:$AG$94,ROWS($A$3:C21),FALSE)+CODE(LEFT($AK21))/1000,"")</f>
        <v>9295.782035870516</v>
      </c>
      <c r="AM21" s="3">
        <f>IF(ISNUMBER(HLOOKUP(AM$3,$V$3:$AG$94,ROWS($A$3:D21),FALSE)),HLOOKUP(AM$3,$V$3:$AG$94,ROWS($A$3:D21),FALSE)+CODE(LEFT($AK21))/1000,"")</f>
        <v>11209.605307961505</v>
      </c>
      <c r="AN21" s="3">
        <f>IF(ISNUMBER(HLOOKUP(AN$3,$V$3:$AG$94,ROWS($A$3:E21),FALSE)),HLOOKUP(AN$3,$V$3:$AG$94,ROWS($A$3:E21),FALSE)+CODE(LEFT($AK21))/1000,"")</f>
        <v>13123.428580052494</v>
      </c>
      <c r="AO21" s="3">
        <f>IF(ISNUMBER(HLOOKUP(AO$3,$V$3:$AG$94,ROWS($A$3:F21),FALSE)),HLOOKUP(AO$3,$V$3:$AG$94,ROWS($A$3:F21),FALSE)+CODE(LEFT($AK21))/1000,"")</f>
        <v>15310.655176727909</v>
      </c>
      <c r="AP21" s="3" t="b">
        <f t="shared" si="18"/>
        <v>0</v>
      </c>
    </row>
    <row r="22" spans="1:42" ht="12.75">
      <c r="A22" t="b">
        <f t="shared" si="1"/>
        <v>1</v>
      </c>
      <c r="B22" t="s">
        <v>1285</v>
      </c>
      <c r="C22" t="s">
        <v>1317</v>
      </c>
      <c r="D22">
        <f t="shared" si="2"/>
        <v>10.0868</v>
      </c>
      <c r="E22">
        <v>111528.15384615386</v>
      </c>
      <c r="F22">
        <v>123010.60139860141</v>
      </c>
      <c r="G22">
        <v>137789.37062937065</v>
      </c>
      <c r="H22">
        <v>155770.7272727273</v>
      </c>
      <c r="I22">
        <v>73393.93006993008</v>
      </c>
      <c r="J22">
        <v>81986.23776223777</v>
      </c>
      <c r="K22">
        <v>93265.59440559441</v>
      </c>
      <c r="L22">
        <v>104341.86013986016</v>
      </c>
      <c r="M22">
        <v>28667.06293706294</v>
      </c>
      <c r="N22">
        <v>35244.083916083924</v>
      </c>
      <c r="O22">
        <v>41539.9020979021</v>
      </c>
      <c r="P22">
        <v>49226.1118881119</v>
      </c>
      <c r="Q22" s="45">
        <v>39563</v>
      </c>
      <c r="T22" s="4">
        <f t="shared" si="3"/>
        <v>10.0868</v>
      </c>
      <c r="V22" s="3">
        <f t="shared" si="16"/>
        <v>11056.84199608933</v>
      </c>
      <c r="W22" s="3">
        <f t="shared" si="4"/>
        <v>12195.205753916149</v>
      </c>
      <c r="X22" s="3">
        <f t="shared" si="5"/>
        <v>13660.365093921822</v>
      </c>
      <c r="Y22" s="3">
        <f t="shared" si="6"/>
        <v>15443.027250736337</v>
      </c>
      <c r="Z22" s="3">
        <f t="shared" si="7"/>
        <v>7276.235284721624</v>
      </c>
      <c r="AA22" s="3">
        <f t="shared" si="8"/>
        <v>8128.072110306318</v>
      </c>
      <c r="AB22" s="3">
        <f t="shared" si="9"/>
        <v>9246.301543164771</v>
      </c>
      <c r="AC22" s="3">
        <f t="shared" si="10"/>
        <v>10344.39665105486</v>
      </c>
      <c r="AD22" s="3">
        <f t="shared" si="11"/>
        <v>2842.037408996207</v>
      </c>
      <c r="AE22" s="3">
        <f t="shared" si="12"/>
        <v>3494.0797791255823</v>
      </c>
      <c r="AF22" s="3">
        <f t="shared" si="13"/>
        <v>4118.2438531449125</v>
      </c>
      <c r="AG22" s="3">
        <f t="shared" si="14"/>
        <v>4880.25061348613</v>
      </c>
      <c r="AH22" s="3"/>
      <c r="AI22">
        <f t="shared" si="15"/>
        <v>40</v>
      </c>
      <c r="AJ22" s="3">
        <f>IF(ISNUMBER(HLOOKUP(listkey,$V$3:$AG$94,ROWS($A$3:C22),FALSE)),HLOOKUP(listkey,$V$3:$AG$94,ROWS($A$3:C22),FALSE)+CODE(LEFT($AK22))/1000+CODE(MID($AK22,2,1))/10000+CODE(RIGHT($AK22))/5000,"")</f>
        <v>12195.305653916148</v>
      </c>
      <c r="AK22" t="str">
        <f t="shared" si="17"/>
        <v>Estonia</v>
      </c>
      <c r="AL22" s="3">
        <f>IF(ISNUMBER(HLOOKUP(AL$3,$V$3:$AG$94,ROWS($A$3:C22),FALSE)),HLOOKUP(AL$3,$V$3:$AG$94,ROWS($A$3:C22),FALSE)+CODE(LEFT($AK22))/1000,"")</f>
        <v>11056.91099608933</v>
      </c>
      <c r="AM22" s="3">
        <f>IF(ISNUMBER(HLOOKUP(AM$3,$V$3:$AG$94,ROWS($A$3:D22),FALSE)),HLOOKUP(AM$3,$V$3:$AG$94,ROWS($A$3:D22),FALSE)+CODE(LEFT($AK22))/1000,"")</f>
        <v>12195.274753916148</v>
      </c>
      <c r="AN22" s="3">
        <f>IF(ISNUMBER(HLOOKUP(AN$3,$V$3:$AG$94,ROWS($A$3:E22),FALSE)),HLOOKUP(AN$3,$V$3:$AG$94,ROWS($A$3:E22),FALSE)+CODE(LEFT($AK22))/1000,"")</f>
        <v>13660.434093921822</v>
      </c>
      <c r="AO22" s="3">
        <f>IF(ISNUMBER(HLOOKUP(AO$3,$V$3:$AG$94,ROWS($A$3:F22),FALSE)),HLOOKUP(AO$3,$V$3:$AG$94,ROWS($A$3:F22),FALSE)+CODE(LEFT($AK22))/1000,"")</f>
        <v>15443.096250736337</v>
      </c>
      <c r="AP22" s="3" t="b">
        <f t="shared" si="18"/>
        <v>1</v>
      </c>
    </row>
    <row r="23" spans="1:42" ht="12.75">
      <c r="A23" t="b">
        <f t="shared" si="1"/>
        <v>1</v>
      </c>
      <c r="B23" t="s">
        <v>1460</v>
      </c>
      <c r="C23" t="s">
        <v>1251</v>
      </c>
      <c r="D23">
        <f t="shared" si="2"/>
        <v>1</v>
      </c>
      <c r="E23" t="s">
        <v>987</v>
      </c>
      <c r="F23">
        <v>9400</v>
      </c>
      <c r="G23">
        <v>10100</v>
      </c>
      <c r="H23">
        <v>11300</v>
      </c>
      <c r="I23" t="s">
        <v>987</v>
      </c>
      <c r="J23">
        <v>7000</v>
      </c>
      <c r="K23">
        <v>7600</v>
      </c>
      <c r="L23">
        <v>8200</v>
      </c>
      <c r="M23" t="s">
        <v>987</v>
      </c>
      <c r="N23">
        <v>3200</v>
      </c>
      <c r="O23">
        <v>3600</v>
      </c>
      <c r="P23">
        <v>4200</v>
      </c>
      <c r="Q23" s="45">
        <v>39123</v>
      </c>
      <c r="T23" s="4">
        <f t="shared" si="3"/>
        <v>1</v>
      </c>
      <c r="V23" s="3">
        <f t="shared" si="16"/>
      </c>
      <c r="W23" s="3">
        <f t="shared" si="4"/>
        <v>9400</v>
      </c>
      <c r="X23" s="3">
        <f t="shared" si="5"/>
        <v>10100</v>
      </c>
      <c r="Y23" s="3">
        <f t="shared" si="6"/>
        <v>11300</v>
      </c>
      <c r="Z23" s="3">
        <f t="shared" si="7"/>
      </c>
      <c r="AA23" s="3">
        <f t="shared" si="8"/>
        <v>7000</v>
      </c>
      <c r="AB23" s="3">
        <f t="shared" si="9"/>
        <v>7600</v>
      </c>
      <c r="AC23" s="3">
        <f t="shared" si="10"/>
        <v>8200</v>
      </c>
      <c r="AD23" s="3">
        <f t="shared" si="11"/>
      </c>
      <c r="AE23" s="3">
        <f t="shared" si="12"/>
        <v>3200</v>
      </c>
      <c r="AF23" s="3">
        <f t="shared" si="13"/>
        <v>3600</v>
      </c>
      <c r="AG23" s="3">
        <f t="shared" si="14"/>
        <v>4200</v>
      </c>
      <c r="AH23" s="3"/>
      <c r="AI23">
        <f t="shared" si="15"/>
        <v>75</v>
      </c>
      <c r="AJ23" s="3">
        <f>IF(ISNUMBER(HLOOKUP(listkey,$V$3:$AG$94,ROWS($A$3:C23),FALSE)),HLOOKUP(listkey,$V$3:$AG$94,ROWS($A$3:C23),FALSE)+CODE(LEFT($AK23))/1000+CODE(MID($AK23,2,1))/10000+CODE(RIGHT($AK23))/5000,"")</f>
        <v>9400.099999999999</v>
      </c>
      <c r="AK23" t="str">
        <f t="shared" si="17"/>
        <v>Ethiopia</v>
      </c>
      <c r="AL23" s="3">
        <f>IF(ISNUMBER(HLOOKUP(AL$3,$V$3:$AG$94,ROWS($A$3:C23),FALSE)),HLOOKUP(AL$3,$V$3:$AG$94,ROWS($A$3:C23),FALSE)+CODE(LEFT($AK23))/1000,"")</f>
      </c>
      <c r="AM23" s="3">
        <f>IF(ISNUMBER(HLOOKUP(AM$3,$V$3:$AG$94,ROWS($A$3:D23),FALSE)),HLOOKUP(AM$3,$V$3:$AG$94,ROWS($A$3:D23),FALSE)+CODE(LEFT($AK23))/1000,"")</f>
        <v>9400.069</v>
      </c>
      <c r="AN23" s="3">
        <f>IF(ISNUMBER(HLOOKUP(AN$3,$V$3:$AG$94,ROWS($A$3:E23),FALSE)),HLOOKUP(AN$3,$V$3:$AG$94,ROWS($A$3:E23),FALSE)+CODE(LEFT($AK23))/1000,"")</f>
        <v>10100.069</v>
      </c>
      <c r="AO23" s="3">
        <f>IF(ISNUMBER(HLOOKUP(AO$3,$V$3:$AG$94,ROWS($A$3:F23),FALSE)),HLOOKUP(AO$3,$V$3:$AG$94,ROWS($A$3:F23),FALSE)+CODE(LEFT($AK23))/1000,"")</f>
        <v>11300.069</v>
      </c>
      <c r="AP23" s="3" t="b">
        <f t="shared" si="18"/>
        <v>1</v>
      </c>
    </row>
    <row r="24" spans="1:43" ht="12.75">
      <c r="A24" t="b">
        <f t="shared" si="1"/>
        <v>0</v>
      </c>
      <c r="B24" t="s">
        <v>1288</v>
      </c>
      <c r="C24" t="s">
        <v>1308</v>
      </c>
      <c r="D24">
        <f t="shared" si="2"/>
        <v>0.6429</v>
      </c>
      <c r="E24">
        <v>8199</v>
      </c>
      <c r="F24">
        <v>9099</v>
      </c>
      <c r="G24">
        <v>10299</v>
      </c>
      <c r="H24">
        <v>11499</v>
      </c>
      <c r="I24">
        <v>4999</v>
      </c>
      <c r="J24">
        <v>5899</v>
      </c>
      <c r="K24">
        <v>6599</v>
      </c>
      <c r="L24">
        <v>7599</v>
      </c>
      <c r="M24">
        <v>1949</v>
      </c>
      <c r="N24">
        <v>2349</v>
      </c>
      <c r="O24">
        <v>2849</v>
      </c>
      <c r="P24">
        <v>3299</v>
      </c>
      <c r="Q24" s="45">
        <v>39563</v>
      </c>
      <c r="T24" s="4">
        <f t="shared" si="3"/>
        <v>0.6429</v>
      </c>
      <c r="V24" s="3">
        <f t="shared" si="16"/>
        <v>12753.149790013998</v>
      </c>
      <c r="W24" s="3">
        <f t="shared" si="4"/>
        <v>14153.056462902472</v>
      </c>
      <c r="X24" s="3">
        <f t="shared" si="5"/>
        <v>16019.598693420437</v>
      </c>
      <c r="Y24" s="3">
        <f t="shared" si="6"/>
        <v>17886.140923938405</v>
      </c>
      <c r="Z24" s="3">
        <f t="shared" si="7"/>
        <v>7775.703841966091</v>
      </c>
      <c r="AA24" s="3">
        <f t="shared" si="8"/>
        <v>9175.610514854565</v>
      </c>
      <c r="AB24" s="3">
        <f t="shared" si="9"/>
        <v>10264.426815990044</v>
      </c>
      <c r="AC24" s="3">
        <f t="shared" si="10"/>
        <v>11819.878674755017</v>
      </c>
      <c r="AD24" s="3">
        <f t="shared" si="11"/>
        <v>3031.575672732929</v>
      </c>
      <c r="AE24" s="3">
        <f t="shared" si="12"/>
        <v>3653.756416238917</v>
      </c>
      <c r="AF24" s="3">
        <f t="shared" si="13"/>
        <v>4431.482345621403</v>
      </c>
      <c r="AG24" s="3">
        <f t="shared" si="14"/>
        <v>5131.435682065639</v>
      </c>
      <c r="AH24" s="3"/>
      <c r="AI24">
        <f t="shared" si="15"/>
        <v>21</v>
      </c>
      <c r="AJ24" s="3">
        <f>IF(ISNUMBER(HLOOKUP(listkey,$V$3:$AG$94,ROWS($A$3:C24),FALSE)),HLOOKUP(listkey,$V$3:$AG$94,ROWS($A$3:C24),FALSE)+CODE(LEFT($AK24))/1000+CODE(MID($AK24,2,1))/10000+CODE(RIGHT($AK24))/5000,"")</f>
        <v>14153.156962902473</v>
      </c>
      <c r="AK24" t="str">
        <f t="shared" si="17"/>
        <v>Finland</v>
      </c>
      <c r="AL24" s="3">
        <f>IF(ISNUMBER(HLOOKUP(AL$3,$V$3:$AG$94,ROWS($A$3:C24),FALSE)),HLOOKUP(AL$3,$V$3:$AG$94,ROWS($A$3:C24),FALSE)+CODE(LEFT($AK24))/1000,"")</f>
        <v>12753.219790013998</v>
      </c>
      <c r="AM24" s="3">
        <f>IF(ISNUMBER(HLOOKUP(AM$3,$V$3:$AG$94,ROWS($A$3:D24),FALSE)),HLOOKUP(AM$3,$V$3:$AG$94,ROWS($A$3:D24),FALSE)+CODE(LEFT($AK24))/1000,"")</f>
        <v>14153.126462902472</v>
      </c>
      <c r="AN24" s="3">
        <f>IF(ISNUMBER(HLOOKUP(AN$3,$V$3:$AG$94,ROWS($A$3:E24),FALSE)),HLOOKUP(AN$3,$V$3:$AG$94,ROWS($A$3:E24),FALSE)+CODE(LEFT($AK24))/1000,"")</f>
        <v>16019.668693420437</v>
      </c>
      <c r="AO24" s="3">
        <f>IF(ISNUMBER(HLOOKUP(AO$3,$V$3:$AG$94,ROWS($A$3:F24),FALSE)),HLOOKUP(AO$3,$V$3:$AG$94,ROWS($A$3:F24),FALSE)+CODE(LEFT($AK24))/1000,"")</f>
        <v>17886.210923938404</v>
      </c>
      <c r="AP24" s="3" t="b">
        <f t="shared" si="18"/>
        <v>0</v>
      </c>
      <c r="AQ24" s="3"/>
    </row>
    <row r="25" spans="1:43" ht="12.75">
      <c r="A25" t="b">
        <f t="shared" si="1"/>
        <v>0</v>
      </c>
      <c r="B25" t="s">
        <v>1291</v>
      </c>
      <c r="C25" t="s">
        <v>1308</v>
      </c>
      <c r="D25">
        <f t="shared" si="2"/>
        <v>0.6429</v>
      </c>
      <c r="E25">
        <v>8199</v>
      </c>
      <c r="F25">
        <v>9099</v>
      </c>
      <c r="G25">
        <v>10299</v>
      </c>
      <c r="H25">
        <v>11499</v>
      </c>
      <c r="I25">
        <v>4999</v>
      </c>
      <c r="J25">
        <v>5899</v>
      </c>
      <c r="K25">
        <v>6599</v>
      </c>
      <c r="L25">
        <v>7599</v>
      </c>
      <c r="M25">
        <v>1949</v>
      </c>
      <c r="N25">
        <v>2349</v>
      </c>
      <c r="O25">
        <v>2849</v>
      </c>
      <c r="P25">
        <v>3299</v>
      </c>
      <c r="Q25" s="45">
        <v>39563</v>
      </c>
      <c r="T25" s="4">
        <f t="shared" si="3"/>
        <v>0.6429</v>
      </c>
      <c r="V25" s="3">
        <f t="shared" si="16"/>
        <v>12753.149790013998</v>
      </c>
      <c r="W25" s="3">
        <f t="shared" si="4"/>
        <v>14153.056462902472</v>
      </c>
      <c r="X25" s="3">
        <f t="shared" si="5"/>
        <v>16019.598693420437</v>
      </c>
      <c r="Y25" s="3">
        <f t="shared" si="6"/>
        <v>17886.140923938405</v>
      </c>
      <c r="Z25" s="3">
        <f t="shared" si="7"/>
        <v>7775.703841966091</v>
      </c>
      <c r="AA25" s="3">
        <f t="shared" si="8"/>
        <v>9175.610514854565</v>
      </c>
      <c r="AB25" s="3">
        <f t="shared" si="9"/>
        <v>10264.426815990044</v>
      </c>
      <c r="AC25" s="3">
        <f t="shared" si="10"/>
        <v>11819.878674755017</v>
      </c>
      <c r="AD25" s="3">
        <f t="shared" si="11"/>
        <v>3031.575672732929</v>
      </c>
      <c r="AE25" s="3">
        <f t="shared" si="12"/>
        <v>3653.756416238917</v>
      </c>
      <c r="AF25" s="3">
        <f t="shared" si="13"/>
        <v>4431.482345621403</v>
      </c>
      <c r="AG25" s="3">
        <f t="shared" si="14"/>
        <v>5131.435682065639</v>
      </c>
      <c r="AH25" s="3"/>
      <c r="AI25">
        <f t="shared" si="15"/>
        <v>20</v>
      </c>
      <c r="AJ25" s="3">
        <f>IF(ISNUMBER(HLOOKUP(listkey,$V$3:$AG$94,ROWS($A$3:C25),FALSE)),HLOOKUP(listkey,$V$3:$AG$94,ROWS($A$3:C25),FALSE)+CODE(LEFT($AK25))/1000+CODE(MID($AK25,2,1))/10000+CODE(RIGHT($AK25))/5000,"")</f>
        <v>14153.158062902472</v>
      </c>
      <c r="AK25" t="str">
        <f t="shared" si="17"/>
        <v>France</v>
      </c>
      <c r="AL25" s="3">
        <f>IF(ISNUMBER(HLOOKUP(AL$3,$V$3:$AG$94,ROWS($A$3:C25),FALSE)),HLOOKUP(AL$3,$V$3:$AG$94,ROWS($A$3:C25),FALSE)+CODE(LEFT($AK25))/1000,"")</f>
        <v>12753.219790013998</v>
      </c>
      <c r="AM25" s="3">
        <f>IF(ISNUMBER(HLOOKUP(AM$3,$V$3:$AG$94,ROWS($A$3:D25),FALSE)),HLOOKUP(AM$3,$V$3:$AG$94,ROWS($A$3:D25),FALSE)+CODE(LEFT($AK25))/1000,"")</f>
        <v>14153.126462902472</v>
      </c>
      <c r="AN25" s="3">
        <f>IF(ISNUMBER(HLOOKUP(AN$3,$V$3:$AG$94,ROWS($A$3:E25),FALSE)),HLOOKUP(AN$3,$V$3:$AG$94,ROWS($A$3:E25),FALSE)+CODE(LEFT($AK25))/1000,"")</f>
        <v>16019.668693420437</v>
      </c>
      <c r="AO25" s="3">
        <f>IF(ISNUMBER(HLOOKUP(AO$3,$V$3:$AG$94,ROWS($A$3:F25),FALSE)),HLOOKUP(AO$3,$V$3:$AG$94,ROWS($A$3:F25),FALSE)+CODE(LEFT($AK25))/1000,"")</f>
        <v>17886.210923938404</v>
      </c>
      <c r="AP25" s="3" t="b">
        <f t="shared" si="18"/>
        <v>0</v>
      </c>
      <c r="AQ25" s="3"/>
    </row>
    <row r="26" spans="1:42" ht="12.75">
      <c r="A26" t="b">
        <f t="shared" si="1"/>
        <v>1</v>
      </c>
      <c r="B26" t="s">
        <v>1294</v>
      </c>
      <c r="C26" t="s">
        <v>1251</v>
      </c>
      <c r="D26">
        <f t="shared" si="2"/>
        <v>1</v>
      </c>
      <c r="E26">
        <v>7900</v>
      </c>
      <c r="F26">
        <v>8950</v>
      </c>
      <c r="G26">
        <v>10600</v>
      </c>
      <c r="H26">
        <v>11600</v>
      </c>
      <c r="I26">
        <v>5800</v>
      </c>
      <c r="J26">
        <v>6500</v>
      </c>
      <c r="K26">
        <v>7600</v>
      </c>
      <c r="L26">
        <v>8700</v>
      </c>
      <c r="M26">
        <v>2550</v>
      </c>
      <c r="N26">
        <v>2950</v>
      </c>
      <c r="O26">
        <v>3450</v>
      </c>
      <c r="P26">
        <v>4050</v>
      </c>
      <c r="Q26" s="45">
        <v>39123</v>
      </c>
      <c r="T26" s="4">
        <f t="shared" si="3"/>
        <v>1</v>
      </c>
      <c r="V26" s="3">
        <f t="shared" si="16"/>
        <v>7900</v>
      </c>
      <c r="W26" s="3">
        <f t="shared" si="4"/>
        <v>8950</v>
      </c>
      <c r="X26" s="3">
        <f t="shared" si="5"/>
        <v>10600</v>
      </c>
      <c r="Y26" s="3">
        <f t="shared" si="6"/>
        <v>11600</v>
      </c>
      <c r="Z26" s="3">
        <f t="shared" si="7"/>
        <v>5800</v>
      </c>
      <c r="AA26" s="3">
        <f t="shared" si="8"/>
        <v>6500</v>
      </c>
      <c r="AB26" s="3">
        <f t="shared" si="9"/>
        <v>7600</v>
      </c>
      <c r="AC26" s="3">
        <f t="shared" si="10"/>
        <v>8700</v>
      </c>
      <c r="AD26" s="3">
        <f t="shared" si="11"/>
        <v>2550</v>
      </c>
      <c r="AE26" s="3">
        <f t="shared" si="12"/>
        <v>2950</v>
      </c>
      <c r="AF26" s="3">
        <f t="shared" si="13"/>
        <v>3450</v>
      </c>
      <c r="AG26" s="3">
        <f t="shared" si="14"/>
        <v>4050</v>
      </c>
      <c r="AH26" s="3"/>
      <c r="AI26">
        <f t="shared" si="15"/>
        <v>81</v>
      </c>
      <c r="AJ26" s="3">
        <f>IF(ISNUMBER(HLOOKUP(listkey,$V$3:$AG$94,ROWS($A$3:C26),FALSE)),HLOOKUP(listkey,$V$3:$AG$94,ROWS($A$3:C26),FALSE)+CODE(LEFT($AK26))/1000+CODE(MID($AK26,2,1))/10000+CODE(RIGHT($AK26))/5000,"")</f>
        <v>8950.100499999999</v>
      </c>
      <c r="AK26" t="str">
        <f t="shared" si="17"/>
        <v>Georgia</v>
      </c>
      <c r="AL26" s="3">
        <f>IF(ISNUMBER(HLOOKUP(AL$3,$V$3:$AG$94,ROWS($A$3:C26),FALSE)),HLOOKUP(AL$3,$V$3:$AG$94,ROWS($A$3:C26),FALSE)+CODE(LEFT($AK26))/1000,"")</f>
        <v>7900.071</v>
      </c>
      <c r="AM26" s="3">
        <f>IF(ISNUMBER(HLOOKUP(AM$3,$V$3:$AG$94,ROWS($A$3:D26),FALSE)),HLOOKUP(AM$3,$V$3:$AG$94,ROWS($A$3:D26),FALSE)+CODE(LEFT($AK26))/1000,"")</f>
        <v>8950.071</v>
      </c>
      <c r="AN26" s="3">
        <f>IF(ISNUMBER(HLOOKUP(AN$3,$V$3:$AG$94,ROWS($A$3:E26),FALSE)),HLOOKUP(AN$3,$V$3:$AG$94,ROWS($A$3:E26),FALSE)+CODE(LEFT($AK26))/1000,"")</f>
        <v>10600.071</v>
      </c>
      <c r="AO26" s="3">
        <f>IF(ISNUMBER(HLOOKUP(AO$3,$V$3:$AG$94,ROWS($A$3:F26),FALSE)),HLOOKUP(AO$3,$V$3:$AG$94,ROWS($A$3:F26),FALSE)+CODE(LEFT($AK26))/1000,"")</f>
        <v>11600.071</v>
      </c>
      <c r="AP26" s="3" t="b">
        <f t="shared" si="18"/>
        <v>1</v>
      </c>
    </row>
    <row r="27" spans="1:42" ht="12.75">
      <c r="A27" t="b">
        <f t="shared" si="1"/>
        <v>0</v>
      </c>
      <c r="B27" t="s">
        <v>1297</v>
      </c>
      <c r="C27" t="s">
        <v>1308</v>
      </c>
      <c r="D27">
        <f t="shared" si="2"/>
        <v>0.6429</v>
      </c>
      <c r="E27">
        <v>8199</v>
      </c>
      <c r="F27">
        <v>9099</v>
      </c>
      <c r="G27">
        <v>10299</v>
      </c>
      <c r="H27">
        <v>11499</v>
      </c>
      <c r="I27">
        <v>4999</v>
      </c>
      <c r="J27">
        <v>5899</v>
      </c>
      <c r="K27">
        <v>6599</v>
      </c>
      <c r="L27">
        <v>7599</v>
      </c>
      <c r="M27">
        <v>1949</v>
      </c>
      <c r="N27">
        <v>2349</v>
      </c>
      <c r="O27">
        <v>2849</v>
      </c>
      <c r="P27">
        <v>3299</v>
      </c>
      <c r="Q27" s="45">
        <v>39563</v>
      </c>
      <c r="T27" s="4">
        <f t="shared" si="3"/>
        <v>0.6429</v>
      </c>
      <c r="V27" s="3">
        <f t="shared" si="16"/>
        <v>12753.149790013998</v>
      </c>
      <c r="W27" s="3">
        <f t="shared" si="4"/>
        <v>14153.056462902472</v>
      </c>
      <c r="X27" s="3">
        <f t="shared" si="5"/>
        <v>16019.598693420437</v>
      </c>
      <c r="Y27" s="3">
        <f t="shared" si="6"/>
        <v>17886.140923938405</v>
      </c>
      <c r="Z27" s="3">
        <f t="shared" si="7"/>
        <v>7775.703841966091</v>
      </c>
      <c r="AA27" s="3">
        <f t="shared" si="8"/>
        <v>9175.610514854565</v>
      </c>
      <c r="AB27" s="3">
        <f t="shared" si="9"/>
        <v>10264.426815990044</v>
      </c>
      <c r="AC27" s="3">
        <f t="shared" si="10"/>
        <v>11819.878674755017</v>
      </c>
      <c r="AD27" s="3">
        <f t="shared" si="11"/>
        <v>3031.575672732929</v>
      </c>
      <c r="AE27" s="3">
        <f t="shared" si="12"/>
        <v>3653.756416238917</v>
      </c>
      <c r="AF27" s="3">
        <f t="shared" si="13"/>
        <v>4431.482345621403</v>
      </c>
      <c r="AG27" s="3">
        <f t="shared" si="14"/>
        <v>5131.435682065639</v>
      </c>
      <c r="AH27" s="3"/>
      <c r="AI27">
        <f t="shared" si="15"/>
        <v>18</v>
      </c>
      <c r="AJ27" s="3">
        <f>IF(ISNUMBER(HLOOKUP(listkey,$V$3:$AG$94,ROWS($A$3:C27),FALSE)),HLOOKUP(listkey,$V$3:$AG$94,ROWS($A$3:C27),FALSE)+CODE(LEFT($AK27))/1000+CODE(MID($AK27,2,1))/10000+CODE(RIGHT($AK27))/5000,"")</f>
        <v>14153.161762902471</v>
      </c>
      <c r="AK27" t="str">
        <f t="shared" si="17"/>
        <v>Germany</v>
      </c>
      <c r="AL27" s="3">
        <f>IF(ISNUMBER(HLOOKUP(AL$3,$V$3:$AG$94,ROWS($A$3:C27),FALSE)),HLOOKUP(AL$3,$V$3:$AG$94,ROWS($A$3:C27),FALSE)+CODE(LEFT($AK27))/1000,"")</f>
        <v>12753.220790013998</v>
      </c>
      <c r="AM27" s="3">
        <f>IF(ISNUMBER(HLOOKUP(AM$3,$V$3:$AG$94,ROWS($A$3:D27),FALSE)),HLOOKUP(AM$3,$V$3:$AG$94,ROWS($A$3:D27),FALSE)+CODE(LEFT($AK27))/1000,"")</f>
        <v>14153.127462902472</v>
      </c>
      <c r="AN27" s="3">
        <f>IF(ISNUMBER(HLOOKUP(AN$3,$V$3:$AG$94,ROWS($A$3:E27),FALSE)),HLOOKUP(AN$3,$V$3:$AG$94,ROWS($A$3:E27),FALSE)+CODE(LEFT($AK27))/1000,"")</f>
        <v>16019.669693420437</v>
      </c>
      <c r="AO27" s="3">
        <f>IF(ISNUMBER(HLOOKUP(AO$3,$V$3:$AG$94,ROWS($A$3:F27),FALSE)),HLOOKUP(AO$3,$V$3:$AG$94,ROWS($A$3:F27),FALSE)+CODE(LEFT($AK27))/1000,"")</f>
        <v>17886.211923938405</v>
      </c>
      <c r="AP27" s="3" t="b">
        <f t="shared" si="18"/>
        <v>0</v>
      </c>
    </row>
    <row r="28" spans="1:42" ht="12.75">
      <c r="A28" t="b">
        <f t="shared" si="1"/>
        <v>1</v>
      </c>
      <c r="B28" t="s">
        <v>1252</v>
      </c>
      <c r="C28" t="s">
        <v>1251</v>
      </c>
      <c r="D28">
        <f t="shared" si="2"/>
        <v>1</v>
      </c>
      <c r="E28" t="s">
        <v>987</v>
      </c>
      <c r="F28">
        <v>9400</v>
      </c>
      <c r="G28">
        <v>10100</v>
      </c>
      <c r="H28">
        <v>11300</v>
      </c>
      <c r="I28" t="s">
        <v>987</v>
      </c>
      <c r="J28">
        <v>7000</v>
      </c>
      <c r="K28">
        <v>7600</v>
      </c>
      <c r="L28">
        <v>8200</v>
      </c>
      <c r="M28" t="s">
        <v>987</v>
      </c>
      <c r="N28">
        <v>3200</v>
      </c>
      <c r="O28">
        <v>3600</v>
      </c>
      <c r="P28">
        <v>4200</v>
      </c>
      <c r="Q28" s="45">
        <v>39123</v>
      </c>
      <c r="T28" s="4">
        <f t="shared" si="3"/>
        <v>1</v>
      </c>
      <c r="V28" s="3">
        <f t="shared" si="16"/>
      </c>
      <c r="W28" s="3">
        <f t="shared" si="4"/>
        <v>9400</v>
      </c>
      <c r="X28" s="3">
        <f t="shared" si="5"/>
        <v>10100</v>
      </c>
      <c r="Y28" s="3">
        <f t="shared" si="6"/>
        <v>11300</v>
      </c>
      <c r="Z28" s="3">
        <f t="shared" si="7"/>
      </c>
      <c r="AA28" s="3">
        <f t="shared" si="8"/>
        <v>7000</v>
      </c>
      <c r="AB28" s="3">
        <f t="shared" si="9"/>
        <v>7600</v>
      </c>
      <c r="AC28" s="3">
        <f t="shared" si="10"/>
        <v>8200</v>
      </c>
      <c r="AD28" s="3">
        <f t="shared" si="11"/>
      </c>
      <c r="AE28" s="3">
        <f t="shared" si="12"/>
        <v>3200</v>
      </c>
      <c r="AF28" s="3">
        <f t="shared" si="13"/>
        <v>3600</v>
      </c>
      <c r="AG28" s="3">
        <f t="shared" si="14"/>
        <v>4200</v>
      </c>
      <c r="AH28" s="3"/>
      <c r="AI28">
        <f t="shared" si="15"/>
        <v>74</v>
      </c>
      <c r="AJ28" s="3">
        <f>IF(ISNUMBER(HLOOKUP(listkey,$V$3:$AG$94,ROWS($A$3:C28),FALSE)),HLOOKUP(listkey,$V$3:$AG$94,ROWS($A$3:C28),FALSE)+CODE(LEFT($AK28))/1000+CODE(MID($AK28,2,1))/10000+CODE(RIGHT($AK28))/5000,"")</f>
        <v>9400.100799999998</v>
      </c>
      <c r="AK28" t="str">
        <f t="shared" si="17"/>
        <v>Ghana</v>
      </c>
      <c r="AL28" s="3">
        <f>IF(ISNUMBER(HLOOKUP(AL$3,$V$3:$AG$94,ROWS($A$3:C28),FALSE)),HLOOKUP(AL$3,$V$3:$AG$94,ROWS($A$3:C28),FALSE)+CODE(LEFT($AK28))/1000,"")</f>
      </c>
      <c r="AM28" s="3">
        <f>IF(ISNUMBER(HLOOKUP(AM$3,$V$3:$AG$94,ROWS($A$3:D28),FALSE)),HLOOKUP(AM$3,$V$3:$AG$94,ROWS($A$3:D28),FALSE)+CODE(LEFT($AK28))/1000,"")</f>
        <v>9400.071</v>
      </c>
      <c r="AN28" s="3">
        <f>IF(ISNUMBER(HLOOKUP(AN$3,$V$3:$AG$94,ROWS($A$3:E28),FALSE)),HLOOKUP(AN$3,$V$3:$AG$94,ROWS($A$3:E28),FALSE)+CODE(LEFT($AK28))/1000,"")</f>
        <v>10100.071</v>
      </c>
      <c r="AO28" s="3">
        <f>IF(ISNUMBER(HLOOKUP(AO$3,$V$3:$AG$94,ROWS($A$3:F28),FALSE)),HLOOKUP(AO$3,$V$3:$AG$94,ROWS($A$3:F28),FALSE)+CODE(LEFT($AK28))/1000,"")</f>
        <v>11300.071</v>
      </c>
      <c r="AP28" s="3" t="b">
        <f t="shared" si="18"/>
        <v>1</v>
      </c>
    </row>
    <row r="29" spans="1:42" ht="12.75">
      <c r="A29" t="b">
        <f t="shared" si="1"/>
        <v>1</v>
      </c>
      <c r="B29" t="s">
        <v>1300</v>
      </c>
      <c r="C29" t="s">
        <v>1318</v>
      </c>
      <c r="D29">
        <f t="shared" si="2"/>
        <v>0.5049</v>
      </c>
      <c r="E29">
        <v>4696.690307328606</v>
      </c>
      <c r="F29">
        <v>5196.338212363564</v>
      </c>
      <c r="G29">
        <v>5795.9156984055135</v>
      </c>
      <c r="H29">
        <v>6595.352346461445</v>
      </c>
      <c r="I29">
        <v>3097.8170112167395</v>
      </c>
      <c r="J29">
        <v>3497.535335244706</v>
      </c>
      <c r="K29">
        <v>3897.2536592726724</v>
      </c>
      <c r="L29">
        <v>4496.8311453146225</v>
      </c>
      <c r="M29">
        <v>1399.0141340978826</v>
      </c>
      <c r="N29">
        <v>1698.8028771188572</v>
      </c>
      <c r="O29">
        <v>2148.4859916503196</v>
      </c>
      <c r="P29">
        <v>2448.2747346712945</v>
      </c>
      <c r="Q29" s="45">
        <v>39563</v>
      </c>
      <c r="T29" s="4">
        <f t="shared" si="3"/>
        <v>0.5049</v>
      </c>
      <c r="V29" s="3">
        <f t="shared" si="16"/>
        <v>9302.21886973382</v>
      </c>
      <c r="W29" s="3">
        <f t="shared" si="4"/>
        <v>10291.816621833163</v>
      </c>
      <c r="X29" s="3">
        <f t="shared" si="5"/>
        <v>11479.333924352373</v>
      </c>
      <c r="Y29" s="3">
        <f t="shared" si="6"/>
        <v>13062.69032771132</v>
      </c>
      <c r="Z29" s="3">
        <f t="shared" si="7"/>
        <v>6135.506063015922</v>
      </c>
      <c r="AA29" s="3">
        <f t="shared" si="8"/>
        <v>6927.184264695396</v>
      </c>
      <c r="AB29" s="3">
        <f t="shared" si="9"/>
        <v>7718.862466374871</v>
      </c>
      <c r="AC29" s="3">
        <f t="shared" si="10"/>
        <v>8906.379768894083</v>
      </c>
      <c r="AD29" s="3">
        <f t="shared" si="11"/>
        <v>2770.873705878159</v>
      </c>
      <c r="AE29" s="3">
        <f t="shared" si="12"/>
        <v>3364.6323571377643</v>
      </c>
      <c r="AF29" s="3">
        <f t="shared" si="13"/>
        <v>4255.270334027173</v>
      </c>
      <c r="AG29" s="3">
        <f t="shared" si="14"/>
        <v>4849.028985286778</v>
      </c>
      <c r="AH29" s="3"/>
      <c r="AI29">
        <f t="shared" si="15"/>
        <v>60</v>
      </c>
      <c r="AJ29" s="3">
        <f>IF(ISNUMBER(HLOOKUP(listkey,$V$3:$AG$94,ROWS($A$3:C29),FALSE)),HLOOKUP(listkey,$V$3:$AG$94,ROWS($A$3:C29),FALSE)+CODE(LEFT($AK29))/1000+CODE(MID($AK29,2,1))/10000+CODE(RIGHT($AK29))/5000,"")</f>
        <v>10291.920921833163</v>
      </c>
      <c r="AK29" t="str">
        <f t="shared" si="17"/>
        <v>Gibraltar</v>
      </c>
      <c r="AL29" s="3">
        <f>IF(ISNUMBER(HLOOKUP(AL$3,$V$3:$AG$94,ROWS($A$3:C29),FALSE)),HLOOKUP(AL$3,$V$3:$AG$94,ROWS($A$3:C29),FALSE)+CODE(LEFT($AK29))/1000,"")</f>
        <v>9302.28986973382</v>
      </c>
      <c r="AM29" s="3">
        <f>IF(ISNUMBER(HLOOKUP(AM$3,$V$3:$AG$94,ROWS($A$3:D29),FALSE)),HLOOKUP(AM$3,$V$3:$AG$94,ROWS($A$3:D29),FALSE)+CODE(LEFT($AK29))/1000,"")</f>
        <v>10291.887621833162</v>
      </c>
      <c r="AN29" s="3">
        <f>IF(ISNUMBER(HLOOKUP(AN$3,$V$3:$AG$94,ROWS($A$3:E29),FALSE)),HLOOKUP(AN$3,$V$3:$AG$94,ROWS($A$3:E29),FALSE)+CODE(LEFT($AK29))/1000,"")</f>
        <v>11479.404924352373</v>
      </c>
      <c r="AO29" s="3">
        <f>IF(ISNUMBER(HLOOKUP(AO$3,$V$3:$AG$94,ROWS($A$3:F29),FALSE)),HLOOKUP(AO$3,$V$3:$AG$94,ROWS($A$3:F29),FALSE)+CODE(LEFT($AK29))/1000,"")</f>
        <v>13062.76132771132</v>
      </c>
      <c r="AP29" s="3" t="b">
        <f t="shared" si="18"/>
        <v>1</v>
      </c>
    </row>
    <row r="30" spans="1:42" ht="12.75">
      <c r="A30" t="b">
        <f t="shared" si="1"/>
        <v>1</v>
      </c>
      <c r="B30" t="s">
        <v>1303</v>
      </c>
      <c r="C30" t="s">
        <v>1308</v>
      </c>
      <c r="D30">
        <f t="shared" si="2"/>
        <v>0.6429</v>
      </c>
      <c r="E30">
        <v>8199</v>
      </c>
      <c r="F30">
        <v>9099</v>
      </c>
      <c r="G30">
        <v>10299</v>
      </c>
      <c r="H30">
        <v>11499</v>
      </c>
      <c r="I30">
        <v>4999</v>
      </c>
      <c r="J30">
        <v>5899</v>
      </c>
      <c r="K30">
        <v>6599</v>
      </c>
      <c r="L30">
        <v>7599</v>
      </c>
      <c r="M30">
        <v>1949</v>
      </c>
      <c r="N30">
        <v>2349</v>
      </c>
      <c r="O30">
        <v>2849</v>
      </c>
      <c r="P30">
        <v>3299</v>
      </c>
      <c r="Q30" s="45">
        <v>39563</v>
      </c>
      <c r="T30" s="4">
        <f t="shared" si="3"/>
        <v>0.6429</v>
      </c>
      <c r="V30" s="3">
        <f t="shared" si="16"/>
        <v>12753.149790013998</v>
      </c>
      <c r="W30" s="3">
        <f t="shared" si="4"/>
        <v>14153.056462902472</v>
      </c>
      <c r="X30" s="3">
        <f t="shared" si="5"/>
        <v>16019.598693420437</v>
      </c>
      <c r="Y30" s="3">
        <f t="shared" si="6"/>
        <v>17886.140923938405</v>
      </c>
      <c r="Z30" s="3">
        <f t="shared" si="7"/>
        <v>7775.703841966091</v>
      </c>
      <c r="AA30" s="3">
        <f t="shared" si="8"/>
        <v>9175.610514854565</v>
      </c>
      <c r="AB30" s="3">
        <f t="shared" si="9"/>
        <v>10264.426815990044</v>
      </c>
      <c r="AC30" s="3">
        <f t="shared" si="10"/>
        <v>11819.878674755017</v>
      </c>
      <c r="AD30" s="3">
        <f t="shared" si="11"/>
        <v>3031.575672732929</v>
      </c>
      <c r="AE30" s="3">
        <f t="shared" si="12"/>
        <v>3653.756416238917</v>
      </c>
      <c r="AF30" s="3">
        <f t="shared" si="13"/>
        <v>4431.482345621403</v>
      </c>
      <c r="AG30" s="3">
        <f t="shared" si="14"/>
        <v>5131.435682065639</v>
      </c>
      <c r="AH30" s="3"/>
      <c r="AI30">
        <f t="shared" si="15"/>
        <v>19</v>
      </c>
      <c r="AJ30" s="3">
        <f>IF(ISNUMBER(HLOOKUP(listkey,$V$3:$AG$94,ROWS($A$3:C30),FALSE)),HLOOKUP(listkey,$V$3:$AG$94,ROWS($A$3:C30),FALSE)+CODE(LEFT($AK30))/1000+CODE(MID($AK30,2,1))/10000+CODE(RIGHT($AK30))/5000,"")</f>
        <v>14153.159062902472</v>
      </c>
      <c r="AK30" t="str">
        <f t="shared" si="17"/>
        <v>Greece</v>
      </c>
      <c r="AL30" s="3">
        <f>IF(ISNUMBER(HLOOKUP(AL$3,$V$3:$AG$94,ROWS($A$3:C30),FALSE)),HLOOKUP(AL$3,$V$3:$AG$94,ROWS($A$3:C30),FALSE)+CODE(LEFT($AK30))/1000,"")</f>
        <v>12753.220790013998</v>
      </c>
      <c r="AM30" s="3">
        <f>IF(ISNUMBER(HLOOKUP(AM$3,$V$3:$AG$94,ROWS($A$3:D30),FALSE)),HLOOKUP(AM$3,$V$3:$AG$94,ROWS($A$3:D30),FALSE)+CODE(LEFT($AK30))/1000,"")</f>
        <v>14153.127462902472</v>
      </c>
      <c r="AN30" s="3">
        <f>IF(ISNUMBER(HLOOKUP(AN$3,$V$3:$AG$94,ROWS($A$3:E30),FALSE)),HLOOKUP(AN$3,$V$3:$AG$94,ROWS($A$3:E30),FALSE)+CODE(LEFT($AK30))/1000,"")</f>
        <v>16019.669693420437</v>
      </c>
      <c r="AO30" s="3">
        <f>IF(ISNUMBER(HLOOKUP(AO$3,$V$3:$AG$94,ROWS($A$3:F30),FALSE)),HLOOKUP(AO$3,$V$3:$AG$94,ROWS($A$3:F30),FALSE)+CODE(LEFT($AK30))/1000,"")</f>
        <v>17886.211923938405</v>
      </c>
      <c r="AP30" s="3" t="b">
        <f t="shared" si="18"/>
        <v>1</v>
      </c>
    </row>
    <row r="31" spans="1:42" ht="12.75">
      <c r="A31" t="b">
        <f t="shared" si="1"/>
        <v>0</v>
      </c>
      <c r="B31" t="s">
        <v>1358</v>
      </c>
      <c r="C31" t="s">
        <v>1270</v>
      </c>
      <c r="D31">
        <f t="shared" si="2"/>
        <v>7.7934</v>
      </c>
      <c r="E31">
        <v>85190</v>
      </c>
      <c r="F31">
        <v>95590</v>
      </c>
      <c r="G31">
        <v>107090</v>
      </c>
      <c r="H31">
        <v>118220</v>
      </c>
      <c r="I31">
        <v>60120</v>
      </c>
      <c r="J31">
        <v>67850</v>
      </c>
      <c r="K31">
        <v>77320</v>
      </c>
      <c r="L31">
        <v>84580</v>
      </c>
      <c r="M31">
        <v>21590</v>
      </c>
      <c r="N31">
        <v>24750</v>
      </c>
      <c r="O31">
        <v>29590</v>
      </c>
      <c r="P31">
        <v>34650</v>
      </c>
      <c r="Q31" s="45">
        <v>39563</v>
      </c>
      <c r="T31" s="4">
        <f t="shared" si="3"/>
        <v>7.7934</v>
      </c>
      <c r="V31" s="3">
        <f t="shared" si="16"/>
        <v>10931.04421690148</v>
      </c>
      <c r="W31" s="3">
        <f t="shared" si="4"/>
        <v>12265.50671080658</v>
      </c>
      <c r="X31" s="3">
        <f t="shared" si="5"/>
        <v>13741.11427618241</v>
      </c>
      <c r="Y31" s="3">
        <f t="shared" si="6"/>
        <v>15169.245772063541</v>
      </c>
      <c r="Z31" s="3">
        <f t="shared" si="7"/>
        <v>7714.219724382169</v>
      </c>
      <c r="AA31" s="3">
        <f t="shared" si="8"/>
        <v>8706.084635717401</v>
      </c>
      <c r="AB31" s="3">
        <f t="shared" si="9"/>
        <v>9921.215387379065</v>
      </c>
      <c r="AC31" s="3">
        <f t="shared" si="10"/>
        <v>10852.772859085893</v>
      </c>
      <c r="AD31" s="3">
        <f t="shared" si="11"/>
        <v>2770.292811866451</v>
      </c>
      <c r="AE31" s="3">
        <f t="shared" si="12"/>
        <v>3175.764108091462</v>
      </c>
      <c r="AF31" s="3">
        <f t="shared" si="13"/>
        <v>3796.8024225626814</v>
      </c>
      <c r="AG31" s="3">
        <f t="shared" si="14"/>
        <v>4446.069751328047</v>
      </c>
      <c r="AH31" s="3"/>
      <c r="AI31">
        <f t="shared" si="15"/>
        <v>39</v>
      </c>
      <c r="AJ31" s="3">
        <f>IF(ISNUMBER(HLOOKUP(listkey,$V$3:$AG$94,ROWS($A$3:C31),FALSE)),HLOOKUP(listkey,$V$3:$AG$94,ROWS($A$3:C31),FALSE)+CODE(LEFT($AK31))/1000+CODE(MID($AK31,2,1))/10000+CODE(RIGHT($AK31))/5000,"")</f>
        <v>12265.61041080658</v>
      </c>
      <c r="AK31" t="str">
        <f t="shared" si="17"/>
        <v>Hong Kong</v>
      </c>
      <c r="AL31" s="3">
        <f>IF(ISNUMBER(HLOOKUP(AL$3,$V$3:$AG$94,ROWS($A$3:C31),FALSE)),HLOOKUP(AL$3,$V$3:$AG$94,ROWS($A$3:C31),FALSE)+CODE(LEFT($AK31))/1000,"")</f>
        <v>10931.11621690148</v>
      </c>
      <c r="AM31" s="3">
        <f>IF(ISNUMBER(HLOOKUP(AM$3,$V$3:$AG$94,ROWS($A$3:D31),FALSE)),HLOOKUP(AM$3,$V$3:$AG$94,ROWS($A$3:D31),FALSE)+CODE(LEFT($AK31))/1000,"")</f>
        <v>12265.57871080658</v>
      </c>
      <c r="AN31" s="3">
        <f>IF(ISNUMBER(HLOOKUP(AN$3,$V$3:$AG$94,ROWS($A$3:E31),FALSE)),HLOOKUP(AN$3,$V$3:$AG$94,ROWS($A$3:E31),FALSE)+CODE(LEFT($AK31))/1000,"")</f>
        <v>13741.18627618241</v>
      </c>
      <c r="AO31" s="3">
        <f>IF(ISNUMBER(HLOOKUP(AO$3,$V$3:$AG$94,ROWS($A$3:F31),FALSE)),HLOOKUP(AO$3,$V$3:$AG$94,ROWS($A$3:F31),FALSE)+CODE(LEFT($AK31))/1000,"")</f>
        <v>15169.317772063541</v>
      </c>
      <c r="AP31" s="3" t="b">
        <f t="shared" si="18"/>
        <v>0</v>
      </c>
    </row>
    <row r="32" spans="1:42" ht="12.75">
      <c r="A32" t="b">
        <f t="shared" si="1"/>
        <v>1</v>
      </c>
      <c r="B32" t="s">
        <v>1283</v>
      </c>
      <c r="C32" t="s">
        <v>1319</v>
      </c>
      <c r="D32">
        <f t="shared" si="2"/>
        <v>162.994</v>
      </c>
      <c r="E32">
        <v>2054423.6753100338</v>
      </c>
      <c r="F32">
        <v>2378819.6166854566</v>
      </c>
      <c r="G32">
        <v>2767943.6302142055</v>
      </c>
      <c r="H32">
        <v>3018292.671927847</v>
      </c>
      <c r="I32">
        <v>1332592.333709132</v>
      </c>
      <c r="J32">
        <v>1540880.7215332582</v>
      </c>
      <c r="K32">
        <v>1810371.1386696731</v>
      </c>
      <c r="L32">
        <v>1958213.0777903046</v>
      </c>
      <c r="M32">
        <v>496920.18038331455</v>
      </c>
      <c r="N32">
        <v>638213.7542277339</v>
      </c>
      <c r="O32">
        <v>715282.97632469</v>
      </c>
      <c r="P32">
        <v>911985.7948139798</v>
      </c>
      <c r="Q32" s="45">
        <v>39563</v>
      </c>
      <c r="T32" s="4">
        <f t="shared" si="3"/>
        <v>162.994</v>
      </c>
      <c r="V32" s="3">
        <f t="shared" si="16"/>
        <v>12604.290190498017</v>
      </c>
      <c r="W32" s="3">
        <f t="shared" si="4"/>
        <v>14594.522600129187</v>
      </c>
      <c r="X32" s="3">
        <f t="shared" si="5"/>
        <v>16981.874364787695</v>
      </c>
      <c r="Y32" s="3">
        <f t="shared" si="6"/>
        <v>18517.814593959574</v>
      </c>
      <c r="Z32" s="3">
        <f t="shared" si="7"/>
        <v>8175.714036769034</v>
      </c>
      <c r="AA32" s="3">
        <f t="shared" si="8"/>
        <v>9453.603945748053</v>
      </c>
      <c r="AB32" s="3">
        <f t="shared" si="9"/>
        <v>11106.980248780159</v>
      </c>
      <c r="AC32" s="3">
        <f t="shared" si="10"/>
        <v>12014.019398200575</v>
      </c>
      <c r="AD32" s="3">
        <f t="shared" si="11"/>
        <v>3048.7022858713485</v>
      </c>
      <c r="AE32" s="3">
        <f t="shared" si="12"/>
        <v>3915.5659363395825</v>
      </c>
      <c r="AF32" s="3">
        <f t="shared" si="13"/>
        <v>4388.400654776802</v>
      </c>
      <c r="AG32" s="3">
        <f t="shared" si="14"/>
        <v>5595.210834840422</v>
      </c>
      <c r="AH32" s="3"/>
      <c r="AI32">
        <f t="shared" si="15"/>
        <v>9</v>
      </c>
      <c r="AJ32" s="3">
        <f>IF(ISNUMBER(HLOOKUP(listkey,$V$3:$AG$94,ROWS($A$3:C32),FALSE)),HLOOKUP(listkey,$V$3:$AG$94,ROWS($A$3:C32),FALSE)+CODE(LEFT($AK32))/1000+CODE(MID($AK32,2,1))/10000+CODE(RIGHT($AK32))/5000,"")</f>
        <v>14594.630500129186</v>
      </c>
      <c r="AK32" t="str">
        <f t="shared" si="17"/>
        <v>Hungary</v>
      </c>
      <c r="AL32" s="3">
        <f>IF(ISNUMBER(HLOOKUP(AL$3,$V$3:$AG$94,ROWS($A$3:C32),FALSE)),HLOOKUP(AL$3,$V$3:$AG$94,ROWS($A$3:C32),FALSE)+CODE(LEFT($AK32))/1000,"")</f>
        <v>12604.362190498017</v>
      </c>
      <c r="AM32" s="3">
        <f>IF(ISNUMBER(HLOOKUP(AM$3,$V$3:$AG$94,ROWS($A$3:D32),FALSE)),HLOOKUP(AM$3,$V$3:$AG$94,ROWS($A$3:D32),FALSE)+CODE(LEFT($AK32))/1000,"")</f>
        <v>14594.594600129187</v>
      </c>
      <c r="AN32" s="3">
        <f>IF(ISNUMBER(HLOOKUP(AN$3,$V$3:$AG$94,ROWS($A$3:E32),FALSE)),HLOOKUP(AN$3,$V$3:$AG$94,ROWS($A$3:E32),FALSE)+CODE(LEFT($AK32))/1000,"")</f>
        <v>16981.946364787695</v>
      </c>
      <c r="AO32" s="3">
        <f>IF(ISNUMBER(HLOOKUP(AO$3,$V$3:$AG$94,ROWS($A$3:F32),FALSE)),HLOOKUP(AO$3,$V$3:$AG$94,ROWS($A$3:F32),FALSE)+CODE(LEFT($AK32))/1000,"")</f>
        <v>18517.886593959574</v>
      </c>
      <c r="AP32" s="3" t="b">
        <f t="shared" si="18"/>
        <v>1</v>
      </c>
    </row>
    <row r="33" spans="1:42" ht="12.75">
      <c r="A33" t="b">
        <f t="shared" si="1"/>
        <v>0</v>
      </c>
      <c r="B33" t="s">
        <v>1271</v>
      </c>
      <c r="C33" t="s">
        <v>1272</v>
      </c>
      <c r="D33">
        <f t="shared" si="2"/>
        <v>40.51</v>
      </c>
      <c r="E33">
        <v>452450</v>
      </c>
      <c r="F33">
        <v>513040</v>
      </c>
      <c r="G33">
        <v>589990</v>
      </c>
      <c r="H33">
        <v>678490</v>
      </c>
      <c r="I33">
        <v>267470</v>
      </c>
      <c r="J33">
        <v>305380</v>
      </c>
      <c r="K33">
        <v>351195</v>
      </c>
      <c r="L33">
        <v>399875</v>
      </c>
      <c r="M33">
        <v>119720</v>
      </c>
      <c r="N33">
        <v>141700</v>
      </c>
      <c r="O33">
        <v>162950</v>
      </c>
      <c r="P33">
        <v>187380</v>
      </c>
      <c r="Q33" s="45">
        <v>39563</v>
      </c>
      <c r="T33" s="4">
        <f t="shared" si="3"/>
        <v>40.51</v>
      </c>
      <c r="V33" s="3">
        <f t="shared" si="16"/>
        <v>11168.847198222662</v>
      </c>
      <c r="W33" s="3">
        <f t="shared" si="4"/>
        <v>12664.527277215502</v>
      </c>
      <c r="X33" s="3">
        <f t="shared" si="5"/>
        <v>14564.05825722044</v>
      </c>
      <c r="Y33" s="3">
        <f t="shared" si="6"/>
        <v>16748.704023697854</v>
      </c>
      <c r="Z33" s="3">
        <f t="shared" si="7"/>
        <v>6602.567267341397</v>
      </c>
      <c r="AA33" s="3">
        <f t="shared" si="8"/>
        <v>7538.385583806468</v>
      </c>
      <c r="AB33" s="3">
        <f t="shared" si="9"/>
        <v>8669.340903480623</v>
      </c>
      <c r="AC33" s="3">
        <f t="shared" si="10"/>
        <v>9871.01950135769</v>
      </c>
      <c r="AD33" s="3">
        <f t="shared" si="11"/>
        <v>2955.31967415453</v>
      </c>
      <c r="AE33" s="3">
        <f t="shared" si="12"/>
        <v>3497.901752653666</v>
      </c>
      <c r="AF33" s="3">
        <f t="shared" si="13"/>
        <v>4022.4635892372257</v>
      </c>
      <c r="AG33" s="3">
        <f t="shared" si="14"/>
        <v>4625.524561836583</v>
      </c>
      <c r="AH33" s="3"/>
      <c r="AI33">
        <f t="shared" si="15"/>
        <v>33</v>
      </c>
      <c r="AJ33" s="3">
        <f>IF(ISNUMBER(HLOOKUP(listkey,$V$3:$AG$94,ROWS($A$3:C33),FALSE)),HLOOKUP(listkey,$V$3:$AG$94,ROWS($A$3:C33),FALSE)+CODE(LEFT($AK33))/1000+CODE(MID($AK33,2,1))/10000+CODE(RIGHT($AK33))/5000,"")</f>
        <v>12664.630677215502</v>
      </c>
      <c r="AK33" t="str">
        <f t="shared" si="17"/>
        <v>India</v>
      </c>
      <c r="AL33" s="3">
        <f>IF(ISNUMBER(HLOOKUP(AL$3,$V$3:$AG$94,ROWS($A$3:C33),FALSE)),HLOOKUP(AL$3,$V$3:$AG$94,ROWS($A$3:C33),FALSE)+CODE(LEFT($AK33))/1000,"")</f>
        <v>11168.920198222662</v>
      </c>
      <c r="AM33" s="3">
        <f>IF(ISNUMBER(HLOOKUP(AM$3,$V$3:$AG$94,ROWS($A$3:D33),FALSE)),HLOOKUP(AM$3,$V$3:$AG$94,ROWS($A$3:D33),FALSE)+CODE(LEFT($AK33))/1000,"")</f>
        <v>12664.600277215503</v>
      </c>
      <c r="AN33" s="3">
        <f>IF(ISNUMBER(HLOOKUP(AN$3,$V$3:$AG$94,ROWS($A$3:E33),FALSE)),HLOOKUP(AN$3,$V$3:$AG$94,ROWS($A$3:E33),FALSE)+CODE(LEFT($AK33))/1000,"")</f>
        <v>14564.13125722044</v>
      </c>
      <c r="AO33" s="3">
        <f>IF(ISNUMBER(HLOOKUP(AO$3,$V$3:$AG$94,ROWS($A$3:F33),FALSE)),HLOOKUP(AO$3,$V$3:$AG$94,ROWS($A$3:F33),FALSE)+CODE(LEFT($AK33))/1000,"")</f>
        <v>16748.777023697854</v>
      </c>
      <c r="AP33" s="3" t="b">
        <f t="shared" si="18"/>
        <v>0</v>
      </c>
    </row>
    <row r="34" spans="1:42" ht="12.75">
      <c r="A34" t="b">
        <f t="shared" si="1"/>
        <v>0</v>
      </c>
      <c r="B34" t="s">
        <v>1259</v>
      </c>
      <c r="C34" t="s">
        <v>1251</v>
      </c>
      <c r="D34">
        <f t="shared" si="2"/>
        <v>1</v>
      </c>
      <c r="E34">
        <v>8117.199860000001</v>
      </c>
      <c r="F34">
        <v>9277.6453</v>
      </c>
      <c r="G34">
        <v>10564.8312</v>
      </c>
      <c r="H34">
        <v>11830.230720000001</v>
      </c>
      <c r="I34">
        <v>5869.5698600000005</v>
      </c>
      <c r="J34">
        <v>6712.1885600000005</v>
      </c>
      <c r="K34">
        <v>7648.862760000001</v>
      </c>
      <c r="L34">
        <v>8544.939480000001</v>
      </c>
      <c r="M34">
        <v>2780.3237000000004</v>
      </c>
      <c r="N34">
        <v>3336.7873000000004</v>
      </c>
      <c r="O34">
        <v>3837.79858</v>
      </c>
      <c r="P34">
        <v>4413.0732800000005</v>
      </c>
      <c r="Q34" s="45">
        <v>39563</v>
      </c>
      <c r="T34" s="4">
        <f t="shared" si="3"/>
        <v>1</v>
      </c>
      <c r="V34" s="3">
        <f t="shared" si="16"/>
        <v>8117.199860000001</v>
      </c>
      <c r="W34" s="3">
        <f t="shared" si="4"/>
        <v>9277.6453</v>
      </c>
      <c r="X34" s="3">
        <f t="shared" si="5"/>
        <v>10564.8312</v>
      </c>
      <c r="Y34" s="3">
        <f t="shared" si="6"/>
        <v>11830.230720000001</v>
      </c>
      <c r="Z34" s="3">
        <f t="shared" si="7"/>
        <v>5869.5698600000005</v>
      </c>
      <c r="AA34" s="3">
        <f t="shared" si="8"/>
        <v>6712.1885600000005</v>
      </c>
      <c r="AB34" s="3">
        <f t="shared" si="9"/>
        <v>7648.862760000001</v>
      </c>
      <c r="AC34" s="3">
        <f t="shared" si="10"/>
        <v>8544.939480000001</v>
      </c>
      <c r="AD34" s="3">
        <f t="shared" si="11"/>
        <v>2780.3237000000004</v>
      </c>
      <c r="AE34" s="3">
        <f t="shared" si="12"/>
        <v>3336.7873000000004</v>
      </c>
      <c r="AF34" s="3">
        <f t="shared" si="13"/>
        <v>3837.79858</v>
      </c>
      <c r="AG34" s="3">
        <f t="shared" si="14"/>
        <v>4413.0732800000005</v>
      </c>
      <c r="AH34" s="3"/>
      <c r="AI34">
        <f t="shared" si="15"/>
        <v>79</v>
      </c>
      <c r="AJ34" s="3">
        <f>IF(ISNUMBER(HLOOKUP(listkey,$V$3:$AG$94,ROWS($A$3:C34),FALSE)),HLOOKUP(listkey,$V$3:$AG$94,ROWS($A$3:C34),FALSE)+CODE(LEFT($AK34))/1000+CODE(MID($AK34,2,1))/10000+CODE(RIGHT($AK34))/5000,"")</f>
        <v>9277.7487</v>
      </c>
      <c r="AK34" t="str">
        <f t="shared" si="17"/>
        <v>Indonesia</v>
      </c>
      <c r="AL34" s="3">
        <f>IF(ISNUMBER(HLOOKUP(AL$3,$V$3:$AG$94,ROWS($A$3:C34),FALSE)),HLOOKUP(AL$3,$V$3:$AG$94,ROWS($A$3:C34),FALSE)+CODE(LEFT($AK34))/1000,"")</f>
        <v>8117.272860000001</v>
      </c>
      <c r="AM34" s="3">
        <f>IF(ISNUMBER(HLOOKUP(AM$3,$V$3:$AG$94,ROWS($A$3:D34),FALSE)),HLOOKUP(AM$3,$V$3:$AG$94,ROWS($A$3:D34),FALSE)+CODE(LEFT($AK34))/1000,"")</f>
        <v>9277.7183</v>
      </c>
      <c r="AN34" s="3">
        <f>IF(ISNUMBER(HLOOKUP(AN$3,$V$3:$AG$94,ROWS($A$3:E34),FALSE)),HLOOKUP(AN$3,$V$3:$AG$94,ROWS($A$3:E34),FALSE)+CODE(LEFT($AK34))/1000,"")</f>
        <v>10564.9042</v>
      </c>
      <c r="AO34" s="3">
        <f>IF(ISNUMBER(HLOOKUP(AO$3,$V$3:$AG$94,ROWS($A$3:F34),FALSE)),HLOOKUP(AO$3,$V$3:$AG$94,ROWS($A$3:F34),FALSE)+CODE(LEFT($AK34))/1000,"")</f>
        <v>11830.303720000002</v>
      </c>
      <c r="AP34" s="3" t="b">
        <f t="shared" si="18"/>
        <v>0</v>
      </c>
    </row>
    <row r="35" spans="1:42" ht="12.75">
      <c r="A35" t="b">
        <f t="shared" si="1"/>
        <v>1</v>
      </c>
      <c r="B35" t="s">
        <v>1343</v>
      </c>
      <c r="C35" t="s">
        <v>1344</v>
      </c>
      <c r="D35">
        <f t="shared" si="2"/>
        <v>9322.9</v>
      </c>
      <c r="E35">
        <v>67992000</v>
      </c>
      <c r="F35">
        <v>81992000</v>
      </c>
      <c r="G35">
        <v>93992000</v>
      </c>
      <c r="H35">
        <v>110992000</v>
      </c>
      <c r="I35">
        <v>47392000</v>
      </c>
      <c r="J35">
        <v>53992000</v>
      </c>
      <c r="K35">
        <v>60992000</v>
      </c>
      <c r="L35">
        <v>70992000</v>
      </c>
      <c r="M35">
        <v>21272000</v>
      </c>
      <c r="N35">
        <v>23992000</v>
      </c>
      <c r="O35">
        <v>27992000</v>
      </c>
      <c r="P35">
        <v>31992000</v>
      </c>
      <c r="Q35" s="45">
        <v>39123</v>
      </c>
      <c r="T35" s="4">
        <f t="shared" si="3"/>
        <v>9322.9</v>
      </c>
      <c r="V35" s="3">
        <f t="shared" si="16"/>
        <v>7293.009685827372</v>
      </c>
      <c r="W35" s="3">
        <f t="shared" si="4"/>
        <v>8794.68834804621</v>
      </c>
      <c r="X35" s="3">
        <f t="shared" si="5"/>
        <v>10081.841487090927</v>
      </c>
      <c r="Y35" s="3">
        <f t="shared" si="6"/>
        <v>11905.308434070945</v>
      </c>
      <c r="Z35" s="3">
        <f t="shared" si="7"/>
        <v>5083.396797133939</v>
      </c>
      <c r="AA35" s="3">
        <f t="shared" si="8"/>
        <v>5791.331023608534</v>
      </c>
      <c r="AB35" s="3">
        <f t="shared" si="9"/>
        <v>6542.170354717953</v>
      </c>
      <c r="AC35" s="3">
        <f t="shared" si="10"/>
        <v>7614.797970588551</v>
      </c>
      <c r="AD35" s="3">
        <f t="shared" si="11"/>
        <v>2281.6934644799367</v>
      </c>
      <c r="AE35" s="3">
        <f t="shared" si="12"/>
        <v>2573.4481759967393</v>
      </c>
      <c r="AF35" s="3">
        <f t="shared" si="13"/>
        <v>3002.4992223449785</v>
      </c>
      <c r="AG35" s="3">
        <f t="shared" si="14"/>
        <v>3431.5502686932177</v>
      </c>
      <c r="AH35" s="3"/>
      <c r="AI35">
        <f t="shared" si="15"/>
        <v>84</v>
      </c>
      <c r="AJ35" s="3">
        <f>IF(ISNUMBER(HLOOKUP(listkey,$V$3:$AG$94,ROWS($A$3:C35),FALSE)),HLOOKUP(listkey,$V$3:$AG$94,ROWS($A$3:C35),FALSE)+CODE(LEFT($AK35))/1000+CODE(MID($AK35,2,1))/10000+CODE(RIGHT($AK35))/5000,"")</f>
        <v>8794.79474804621</v>
      </c>
      <c r="AK35" t="str">
        <f t="shared" si="17"/>
        <v>Iran</v>
      </c>
      <c r="AL35" s="3">
        <f>IF(ISNUMBER(HLOOKUP(AL$3,$V$3:$AG$94,ROWS($A$3:C35),FALSE)),HLOOKUP(AL$3,$V$3:$AG$94,ROWS($A$3:C35),FALSE)+CODE(LEFT($AK35))/1000,"")</f>
        <v>7293.082685827372</v>
      </c>
      <c r="AM35" s="3">
        <f>IF(ISNUMBER(HLOOKUP(AM$3,$V$3:$AG$94,ROWS($A$3:D35),FALSE)),HLOOKUP(AM$3,$V$3:$AG$94,ROWS($A$3:D35),FALSE)+CODE(LEFT($AK35))/1000,"")</f>
        <v>8794.76134804621</v>
      </c>
      <c r="AN35" s="3">
        <f>IF(ISNUMBER(HLOOKUP(AN$3,$V$3:$AG$94,ROWS($A$3:E35),FALSE)),HLOOKUP(AN$3,$V$3:$AG$94,ROWS($A$3:E35),FALSE)+CODE(LEFT($AK35))/1000,"")</f>
        <v>10081.914487090928</v>
      </c>
      <c r="AO35" s="3">
        <f>IF(ISNUMBER(HLOOKUP(AO$3,$V$3:$AG$94,ROWS($A$3:F35),FALSE)),HLOOKUP(AO$3,$V$3:$AG$94,ROWS($A$3:F35),FALSE)+CODE(LEFT($AK35))/1000,"")</f>
        <v>11905.381434070945</v>
      </c>
      <c r="AP35" s="3" t="b">
        <f t="shared" si="18"/>
        <v>1</v>
      </c>
    </row>
    <row r="36" spans="1:42" ht="12.75">
      <c r="A36" t="b">
        <f aca="true" t="shared" si="19" ref="A36:A67">ISNA(VLOOKUP(PROPER(B36),$B$97:$H$241,1,FALSE))</f>
        <v>1</v>
      </c>
      <c r="B36" t="s">
        <v>1462</v>
      </c>
      <c r="C36" t="s">
        <v>1308</v>
      </c>
      <c r="D36">
        <f t="shared" si="2"/>
        <v>0.6429</v>
      </c>
      <c r="E36">
        <v>9949</v>
      </c>
      <c r="F36">
        <v>10549</v>
      </c>
      <c r="G36">
        <v>11849</v>
      </c>
      <c r="H36">
        <v>12499</v>
      </c>
      <c r="I36">
        <v>5449</v>
      </c>
      <c r="J36">
        <v>6449</v>
      </c>
      <c r="K36">
        <v>7449</v>
      </c>
      <c r="L36">
        <v>8449</v>
      </c>
      <c r="M36">
        <v>2099</v>
      </c>
      <c r="N36">
        <v>2449</v>
      </c>
      <c r="O36">
        <v>2949</v>
      </c>
      <c r="P36">
        <v>3399</v>
      </c>
      <c r="Q36" s="45">
        <v>39563</v>
      </c>
      <c r="T36" s="4">
        <f t="shared" si="3"/>
        <v>0.6429</v>
      </c>
      <c r="V36" s="3">
        <f t="shared" si="16"/>
        <v>15475.190542852699</v>
      </c>
      <c r="W36" s="3">
        <f t="shared" si="4"/>
        <v>16408.461658111682</v>
      </c>
      <c r="X36" s="3">
        <f t="shared" si="5"/>
        <v>18430.549074506143</v>
      </c>
      <c r="Y36" s="3">
        <f t="shared" si="6"/>
        <v>19441.592782703374</v>
      </c>
      <c r="Z36" s="3">
        <f t="shared" si="7"/>
        <v>8475.657178410327</v>
      </c>
      <c r="AA36" s="3">
        <f t="shared" si="8"/>
        <v>10031.1090371753</v>
      </c>
      <c r="AB36" s="3">
        <f t="shared" si="9"/>
        <v>11586.56089594027</v>
      </c>
      <c r="AC36" s="3">
        <f t="shared" si="10"/>
        <v>13142.012754705242</v>
      </c>
      <c r="AD36" s="3">
        <f t="shared" si="11"/>
        <v>3264.8934515476744</v>
      </c>
      <c r="AE36" s="3">
        <f t="shared" si="12"/>
        <v>3809.3016021154144</v>
      </c>
      <c r="AF36" s="3">
        <f t="shared" si="13"/>
        <v>4587.0275314979</v>
      </c>
      <c r="AG36" s="3">
        <f t="shared" si="14"/>
        <v>5286.980867942137</v>
      </c>
      <c r="AH36" s="3"/>
      <c r="AI36">
        <f aca="true" t="shared" si="20" ref="AI36:AI67">IF(AJ36&lt;&gt;"",RANK(AJ36,$AJ$4:$AJ$94),"")</f>
        <v>3</v>
      </c>
      <c r="AJ36" s="3">
        <f>IF(ISNUMBER(HLOOKUP(listkey,$V$3:$AG$94,ROWS($A$3:C36),FALSE)),HLOOKUP(listkey,$V$3:$AG$94,ROWS($A$3:C36),FALSE)+CODE(LEFT($AK36))/1000+CODE(MID($AK36,2,1))/10000+CODE(RIGHT($AK36))/5000,"")</f>
        <v>16408.567458111684</v>
      </c>
      <c r="AK36" t="str">
        <f t="shared" si="17"/>
        <v>Ireland Peak</v>
      </c>
      <c r="AL36" s="3">
        <f>IF(ISNUMBER(HLOOKUP(AL$3,$V$3:$AG$94,ROWS($A$3:C36),FALSE)),HLOOKUP(AL$3,$V$3:$AG$94,ROWS($A$3:C36),FALSE)+CODE(LEFT($AK36))/1000,"")</f>
        <v>15475.2635428527</v>
      </c>
      <c r="AM36" s="3">
        <f>IF(ISNUMBER(HLOOKUP(AM$3,$V$3:$AG$94,ROWS($A$3:D36),FALSE)),HLOOKUP(AM$3,$V$3:$AG$94,ROWS($A$3:D36),FALSE)+CODE(LEFT($AK36))/1000,"")</f>
        <v>16408.534658111683</v>
      </c>
      <c r="AN36" s="3">
        <f>IF(ISNUMBER(HLOOKUP(AN$3,$V$3:$AG$94,ROWS($A$3:E36),FALSE)),HLOOKUP(AN$3,$V$3:$AG$94,ROWS($A$3:E36),FALSE)+CODE(LEFT($AK36))/1000,"")</f>
        <v>18430.622074506144</v>
      </c>
      <c r="AO36" s="3">
        <f>IF(ISNUMBER(HLOOKUP(AO$3,$V$3:$AG$94,ROWS($A$3:F36),FALSE)),HLOOKUP(AO$3,$V$3:$AG$94,ROWS($A$3:F36),FALSE)+CODE(LEFT($AK36))/1000,"")</f>
        <v>19441.665782703374</v>
      </c>
      <c r="AP36" s="3" t="b">
        <f t="shared" si="18"/>
        <v>1</v>
      </c>
    </row>
    <row r="37" spans="1:42" ht="12.75">
      <c r="A37" t="b">
        <f t="shared" si="19"/>
        <v>1</v>
      </c>
      <c r="B37" t="s">
        <v>1461</v>
      </c>
      <c r="C37" t="s">
        <v>1308</v>
      </c>
      <c r="D37">
        <f t="shared" si="2"/>
        <v>0.6429</v>
      </c>
      <c r="E37">
        <v>9949</v>
      </c>
      <c r="F37">
        <v>10549</v>
      </c>
      <c r="G37">
        <v>11849</v>
      </c>
      <c r="H37">
        <v>12499</v>
      </c>
      <c r="I37">
        <v>5449</v>
      </c>
      <c r="J37">
        <v>6449</v>
      </c>
      <c r="K37">
        <v>7449</v>
      </c>
      <c r="L37">
        <v>8449</v>
      </c>
      <c r="M37">
        <v>1949</v>
      </c>
      <c r="N37">
        <v>2349</v>
      </c>
      <c r="O37">
        <v>2849</v>
      </c>
      <c r="P37">
        <v>3299</v>
      </c>
      <c r="Q37" s="45">
        <v>39563</v>
      </c>
      <c r="T37" s="4">
        <f t="shared" si="3"/>
        <v>0.6429</v>
      </c>
      <c r="V37" s="3">
        <f t="shared" si="16"/>
        <v>15475.190542852699</v>
      </c>
      <c r="W37" s="3">
        <f t="shared" si="4"/>
        <v>16408.461658111682</v>
      </c>
      <c r="X37" s="3">
        <f t="shared" si="5"/>
        <v>18430.549074506143</v>
      </c>
      <c r="Y37" s="3">
        <f t="shared" si="6"/>
        <v>19441.592782703374</v>
      </c>
      <c r="Z37" s="3">
        <f t="shared" si="7"/>
        <v>8475.657178410327</v>
      </c>
      <c r="AA37" s="3">
        <f t="shared" si="8"/>
        <v>10031.1090371753</v>
      </c>
      <c r="AB37" s="3">
        <f t="shared" si="9"/>
        <v>11586.56089594027</v>
      </c>
      <c r="AC37" s="3">
        <f t="shared" si="10"/>
        <v>13142.012754705242</v>
      </c>
      <c r="AD37" s="3">
        <f t="shared" si="11"/>
        <v>3031.575672732929</v>
      </c>
      <c r="AE37" s="3">
        <f t="shared" si="12"/>
        <v>3653.756416238917</v>
      </c>
      <c r="AF37" s="3">
        <f t="shared" si="13"/>
        <v>4431.482345621403</v>
      </c>
      <c r="AG37" s="3">
        <f t="shared" si="14"/>
        <v>5131.435682065639</v>
      </c>
      <c r="AH37" s="3"/>
      <c r="AI37">
        <f t="shared" si="20"/>
        <v>4</v>
      </c>
      <c r="AJ37" s="3">
        <f>IF(ISNUMBER(HLOOKUP(listkey,$V$3:$AG$94,ROWS($A$3:C37),FALSE)),HLOOKUP(listkey,$V$3:$AG$94,ROWS($A$3:C37),FALSE)+CODE(LEFT($AK37))/1000+CODE(MID($AK37,2,1))/10000+CODE(RIGHT($AK37))/5000,"")</f>
        <v>16408.56585811168</v>
      </c>
      <c r="AK37" t="str">
        <f t="shared" si="17"/>
        <v>Ireland Basic</v>
      </c>
      <c r="AL37" s="3">
        <f>IF(ISNUMBER(HLOOKUP(AL$3,$V$3:$AG$94,ROWS($A$3:C37),FALSE)),HLOOKUP(AL$3,$V$3:$AG$94,ROWS($A$3:C37),FALSE)+CODE(LEFT($AK37))/1000,"")</f>
        <v>15475.2635428527</v>
      </c>
      <c r="AM37" s="3">
        <f>IF(ISNUMBER(HLOOKUP(AM$3,$V$3:$AG$94,ROWS($A$3:D37),FALSE)),HLOOKUP(AM$3,$V$3:$AG$94,ROWS($A$3:D37),FALSE)+CODE(LEFT($AK37))/1000,"")</f>
        <v>16408.534658111683</v>
      </c>
      <c r="AN37" s="3">
        <f>IF(ISNUMBER(HLOOKUP(AN$3,$V$3:$AG$94,ROWS($A$3:E37),FALSE)),HLOOKUP(AN$3,$V$3:$AG$94,ROWS($A$3:E37),FALSE)+CODE(LEFT($AK37))/1000,"")</f>
        <v>18430.622074506144</v>
      </c>
      <c r="AO37" s="3">
        <f>IF(ISNUMBER(HLOOKUP(AO$3,$V$3:$AG$94,ROWS($A$3:F37),FALSE)),HLOOKUP(AO$3,$V$3:$AG$94,ROWS($A$3:F37),FALSE)+CODE(LEFT($AK37))/1000,"")</f>
        <v>19441.665782703374</v>
      </c>
      <c r="AP37" s="3" t="b">
        <f t="shared" si="18"/>
        <v>1</v>
      </c>
    </row>
    <row r="38" spans="1:42" ht="12.75">
      <c r="A38" t="b">
        <f t="shared" si="19"/>
        <v>0</v>
      </c>
      <c r="B38" t="s">
        <v>1332</v>
      </c>
      <c r="C38" t="s">
        <v>1251</v>
      </c>
      <c r="D38">
        <f t="shared" si="2"/>
        <v>1</v>
      </c>
      <c r="E38">
        <v>8800</v>
      </c>
      <c r="F38">
        <v>10000</v>
      </c>
      <c r="G38">
        <v>11700</v>
      </c>
      <c r="H38">
        <v>13000</v>
      </c>
      <c r="I38">
        <v>6200</v>
      </c>
      <c r="J38">
        <v>7200</v>
      </c>
      <c r="K38">
        <v>8500</v>
      </c>
      <c r="L38">
        <v>9600</v>
      </c>
      <c r="M38">
        <v>2900</v>
      </c>
      <c r="N38">
        <v>3300</v>
      </c>
      <c r="O38">
        <v>3900</v>
      </c>
      <c r="P38">
        <v>4600</v>
      </c>
      <c r="Q38" s="45">
        <v>39563</v>
      </c>
      <c r="T38" s="4">
        <f t="shared" si="3"/>
        <v>1</v>
      </c>
      <c r="V38" s="3">
        <f t="shared" si="16"/>
        <v>8800</v>
      </c>
      <c r="W38" s="3">
        <f t="shared" si="4"/>
        <v>10000</v>
      </c>
      <c r="X38" s="3">
        <f t="shared" si="5"/>
        <v>11700</v>
      </c>
      <c r="Y38" s="3">
        <f t="shared" si="6"/>
        <v>13000</v>
      </c>
      <c r="Z38" s="3">
        <f t="shared" si="7"/>
        <v>6200</v>
      </c>
      <c r="AA38" s="3">
        <f t="shared" si="8"/>
        <v>7200</v>
      </c>
      <c r="AB38" s="3">
        <f t="shared" si="9"/>
        <v>8500</v>
      </c>
      <c r="AC38" s="3">
        <f t="shared" si="10"/>
        <v>9600</v>
      </c>
      <c r="AD38" s="3">
        <f t="shared" si="11"/>
        <v>2900</v>
      </c>
      <c r="AE38" s="3">
        <f t="shared" si="12"/>
        <v>3300</v>
      </c>
      <c r="AF38" s="3">
        <f t="shared" si="13"/>
        <v>3900</v>
      </c>
      <c r="AG38" s="3">
        <f t="shared" si="14"/>
        <v>4600</v>
      </c>
      <c r="AH38" s="3"/>
      <c r="AI38">
        <f t="shared" si="20"/>
        <v>64</v>
      </c>
      <c r="AJ38" s="3">
        <f>IF(ISNUMBER(HLOOKUP(listkey,$V$3:$AG$94,ROWS($A$3:C38),FALSE)),HLOOKUP(listkey,$V$3:$AG$94,ROWS($A$3:C38),FALSE)+CODE(LEFT($AK38))/1000+CODE(MID($AK38,2,1))/10000+CODE(RIGHT($AK38))/5000,"")</f>
        <v>10000.1061</v>
      </c>
      <c r="AK38" t="str">
        <f t="shared" si="17"/>
        <v>Israel</v>
      </c>
      <c r="AL38" s="3">
        <f>IF(ISNUMBER(HLOOKUP(AL$3,$V$3:$AG$94,ROWS($A$3:C38),FALSE)),HLOOKUP(AL$3,$V$3:$AG$94,ROWS($A$3:C38),FALSE)+CODE(LEFT($AK38))/1000,"")</f>
        <v>8800.073</v>
      </c>
      <c r="AM38" s="3">
        <f>IF(ISNUMBER(HLOOKUP(AM$3,$V$3:$AG$94,ROWS($A$3:D38),FALSE)),HLOOKUP(AM$3,$V$3:$AG$94,ROWS($A$3:D38),FALSE)+CODE(LEFT($AK38))/1000,"")</f>
        <v>10000.073</v>
      </c>
      <c r="AN38" s="3">
        <f>IF(ISNUMBER(HLOOKUP(AN$3,$V$3:$AG$94,ROWS($A$3:E38),FALSE)),HLOOKUP(AN$3,$V$3:$AG$94,ROWS($A$3:E38),FALSE)+CODE(LEFT($AK38))/1000,"")</f>
        <v>11700.073</v>
      </c>
      <c r="AO38" s="3">
        <f>IF(ISNUMBER(HLOOKUP(AO$3,$V$3:$AG$94,ROWS($A$3:F38),FALSE)),HLOOKUP(AO$3,$V$3:$AG$94,ROWS($A$3:F38),FALSE)+CODE(LEFT($AK38))/1000,"")</f>
        <v>13000.073</v>
      </c>
      <c r="AP38" s="3" t="b">
        <f t="shared" si="18"/>
        <v>0</v>
      </c>
    </row>
    <row r="39" spans="1:42" ht="12.75">
      <c r="A39" t="b">
        <f t="shared" si="19"/>
        <v>0</v>
      </c>
      <c r="B39" t="s">
        <v>1289</v>
      </c>
      <c r="C39" t="s">
        <v>1308</v>
      </c>
      <c r="D39">
        <f t="shared" si="2"/>
        <v>0.6429</v>
      </c>
      <c r="E39">
        <v>8199</v>
      </c>
      <c r="F39">
        <v>9099</v>
      </c>
      <c r="G39">
        <v>10299</v>
      </c>
      <c r="H39">
        <v>11499</v>
      </c>
      <c r="I39">
        <v>4999</v>
      </c>
      <c r="J39">
        <v>5899</v>
      </c>
      <c r="K39">
        <v>6599</v>
      </c>
      <c r="L39">
        <v>7599</v>
      </c>
      <c r="M39">
        <v>1949</v>
      </c>
      <c r="N39">
        <v>2349</v>
      </c>
      <c r="O39">
        <v>2849</v>
      </c>
      <c r="P39">
        <v>3299</v>
      </c>
      <c r="Q39" s="45">
        <v>39563</v>
      </c>
      <c r="T39" s="4">
        <f t="shared" si="3"/>
        <v>0.6429</v>
      </c>
      <c r="V39" s="3">
        <f t="shared" si="16"/>
        <v>12753.149790013998</v>
      </c>
      <c r="W39" s="3">
        <f t="shared" si="4"/>
        <v>14153.056462902472</v>
      </c>
      <c r="X39" s="3">
        <f t="shared" si="5"/>
        <v>16019.598693420437</v>
      </c>
      <c r="Y39" s="3">
        <f t="shared" si="6"/>
        <v>17886.140923938405</v>
      </c>
      <c r="Z39" s="3">
        <f t="shared" si="7"/>
        <v>7775.703841966091</v>
      </c>
      <c r="AA39" s="3">
        <f t="shared" si="8"/>
        <v>9175.610514854565</v>
      </c>
      <c r="AB39" s="3">
        <f t="shared" si="9"/>
        <v>10264.426815990044</v>
      </c>
      <c r="AC39" s="3">
        <f t="shared" si="10"/>
        <v>11819.878674755017</v>
      </c>
      <c r="AD39" s="3">
        <f t="shared" si="11"/>
        <v>3031.575672732929</v>
      </c>
      <c r="AE39" s="3">
        <f t="shared" si="12"/>
        <v>3653.756416238917</v>
      </c>
      <c r="AF39" s="3">
        <f t="shared" si="13"/>
        <v>4431.482345621403</v>
      </c>
      <c r="AG39" s="3">
        <f t="shared" si="14"/>
        <v>5131.435682065639</v>
      </c>
      <c r="AH39" s="3"/>
      <c r="AI39">
        <f t="shared" si="20"/>
        <v>16</v>
      </c>
      <c r="AJ39" s="3">
        <f>IF(ISNUMBER(HLOOKUP(listkey,$V$3:$AG$94,ROWS($A$3:C39),FALSE)),HLOOKUP(listkey,$V$3:$AG$94,ROWS($A$3:C39),FALSE)+CODE(LEFT($AK39))/1000+CODE(MID($AK39,2,1))/10000+CODE(RIGHT($AK39))/5000,"")</f>
        <v>14153.165262902472</v>
      </c>
      <c r="AK39" t="str">
        <f t="shared" si="17"/>
        <v>Italy</v>
      </c>
      <c r="AL39" s="3">
        <f>IF(ISNUMBER(HLOOKUP(AL$3,$V$3:$AG$94,ROWS($A$3:C39),FALSE)),HLOOKUP(AL$3,$V$3:$AG$94,ROWS($A$3:C39),FALSE)+CODE(LEFT($AK39))/1000,"")</f>
        <v>12753.222790013999</v>
      </c>
      <c r="AM39" s="3">
        <f>IF(ISNUMBER(HLOOKUP(AM$3,$V$3:$AG$94,ROWS($A$3:D39),FALSE)),HLOOKUP(AM$3,$V$3:$AG$94,ROWS($A$3:D39),FALSE)+CODE(LEFT($AK39))/1000,"")</f>
        <v>14153.129462902472</v>
      </c>
      <c r="AN39" s="3">
        <f>IF(ISNUMBER(HLOOKUP(AN$3,$V$3:$AG$94,ROWS($A$3:E39),FALSE)),HLOOKUP(AN$3,$V$3:$AG$94,ROWS($A$3:E39),FALSE)+CODE(LEFT($AK39))/1000,"")</f>
        <v>16019.671693420438</v>
      </c>
      <c r="AO39" s="3">
        <f>IF(ISNUMBER(HLOOKUP(AO$3,$V$3:$AG$94,ROWS($A$3:F39),FALSE)),HLOOKUP(AO$3,$V$3:$AG$94,ROWS($A$3:F39),FALSE)+CODE(LEFT($AK39))/1000,"")</f>
        <v>17886.213923938405</v>
      </c>
      <c r="AP39" s="3" t="b">
        <f t="shared" si="18"/>
        <v>0</v>
      </c>
    </row>
    <row r="40" spans="1:42" ht="12.75">
      <c r="A40" t="b">
        <f t="shared" si="19"/>
        <v>0</v>
      </c>
      <c r="B40" t="s">
        <v>1262</v>
      </c>
      <c r="C40" t="s">
        <v>1273</v>
      </c>
      <c r="D40">
        <f t="shared" si="2"/>
        <v>103.979</v>
      </c>
      <c r="E40">
        <v>955500</v>
      </c>
      <c r="F40">
        <v>1126100</v>
      </c>
      <c r="G40">
        <v>1304900</v>
      </c>
      <c r="H40">
        <v>1423900</v>
      </c>
      <c r="I40">
        <v>656300</v>
      </c>
      <c r="J40">
        <v>780400</v>
      </c>
      <c r="K40">
        <v>895200</v>
      </c>
      <c r="L40">
        <v>978200</v>
      </c>
      <c r="M40">
        <v>335000</v>
      </c>
      <c r="N40">
        <v>369600</v>
      </c>
      <c r="O40">
        <v>433800</v>
      </c>
      <c r="P40">
        <v>500000</v>
      </c>
      <c r="Q40" s="45">
        <v>39563</v>
      </c>
      <c r="T40" s="4">
        <f t="shared" si="3"/>
        <v>103.979</v>
      </c>
      <c r="V40" s="3">
        <f t="shared" si="16"/>
        <v>9189.355542946172</v>
      </c>
      <c r="W40" s="3">
        <f t="shared" si="4"/>
        <v>10830.071456736456</v>
      </c>
      <c r="X40" s="3">
        <f t="shared" si="5"/>
        <v>12549.64944844632</v>
      </c>
      <c r="Y40" s="3">
        <f t="shared" si="6"/>
        <v>13694.111310937786</v>
      </c>
      <c r="Z40" s="3">
        <f t="shared" si="7"/>
        <v>6311.851431539061</v>
      </c>
      <c r="AA40" s="3">
        <f t="shared" si="8"/>
        <v>7505.361659565874</v>
      </c>
      <c r="AB40" s="3">
        <f t="shared" si="9"/>
        <v>8609.430750439993</v>
      </c>
      <c r="AC40" s="3">
        <f t="shared" si="10"/>
        <v>9407.66885621135</v>
      </c>
      <c r="AD40" s="3">
        <f t="shared" si="11"/>
        <v>3221.804402812106</v>
      </c>
      <c r="AE40" s="3">
        <f t="shared" si="12"/>
        <v>3554.563902326431</v>
      </c>
      <c r="AF40" s="3">
        <f t="shared" si="13"/>
        <v>4171.996268477289</v>
      </c>
      <c r="AG40" s="3">
        <f t="shared" si="14"/>
        <v>4808.663287779264</v>
      </c>
      <c r="AH40" s="3"/>
      <c r="AI40">
        <f t="shared" si="20"/>
        <v>59</v>
      </c>
      <c r="AJ40" s="3">
        <f>IF(ISNUMBER(HLOOKUP(listkey,$V$3:$AG$94,ROWS($A$3:C40),FALSE)),HLOOKUP(listkey,$V$3:$AG$94,ROWS($A$3:C40),FALSE)+CODE(LEFT($AK40))/1000+CODE(MID($AK40,2,1))/10000+CODE(RIGHT($AK40))/5000,"")</f>
        <v>10830.177156736458</v>
      </c>
      <c r="AK40" t="str">
        <f t="shared" si="17"/>
        <v>Japan</v>
      </c>
      <c r="AL40" s="3">
        <f>IF(ISNUMBER(HLOOKUP(AL$3,$V$3:$AG$94,ROWS($A$3:C40),FALSE)),HLOOKUP(AL$3,$V$3:$AG$94,ROWS($A$3:C40),FALSE)+CODE(LEFT($AK40))/1000,"")</f>
        <v>9189.429542946173</v>
      </c>
      <c r="AM40" s="3">
        <f>IF(ISNUMBER(HLOOKUP(AM$3,$V$3:$AG$94,ROWS($A$3:D40),FALSE)),HLOOKUP(AM$3,$V$3:$AG$94,ROWS($A$3:D40),FALSE)+CODE(LEFT($AK40))/1000,"")</f>
        <v>10830.145456736456</v>
      </c>
      <c r="AN40" s="3">
        <f>IF(ISNUMBER(HLOOKUP(AN$3,$V$3:$AG$94,ROWS($A$3:E40),FALSE)),HLOOKUP(AN$3,$V$3:$AG$94,ROWS($A$3:E40),FALSE)+CODE(LEFT($AK40))/1000,"")</f>
        <v>12549.72344844632</v>
      </c>
      <c r="AO40" s="3">
        <f>IF(ISNUMBER(HLOOKUP(AO$3,$V$3:$AG$94,ROWS($A$3:F40),FALSE)),HLOOKUP(AO$3,$V$3:$AG$94,ROWS($A$3:F40),FALSE)+CODE(LEFT($AK40))/1000,"")</f>
        <v>13694.185310937786</v>
      </c>
      <c r="AP40" s="3" t="b">
        <f t="shared" si="18"/>
        <v>0</v>
      </c>
    </row>
    <row r="41" spans="1:42" ht="12.75">
      <c r="A41" t="b">
        <f t="shared" si="19"/>
        <v>1</v>
      </c>
      <c r="B41" t="s">
        <v>1334</v>
      </c>
      <c r="C41" t="s">
        <v>1345</v>
      </c>
      <c r="D41">
        <f t="shared" si="2"/>
        <v>0.7122</v>
      </c>
      <c r="E41">
        <v>6200</v>
      </c>
      <c r="F41">
        <v>7100</v>
      </c>
      <c r="G41">
        <v>8300</v>
      </c>
      <c r="H41">
        <v>9200</v>
      </c>
      <c r="I41">
        <v>4400</v>
      </c>
      <c r="J41">
        <v>5100</v>
      </c>
      <c r="K41">
        <v>6000</v>
      </c>
      <c r="L41">
        <v>6800</v>
      </c>
      <c r="M41">
        <v>2050</v>
      </c>
      <c r="N41">
        <v>2350</v>
      </c>
      <c r="O41">
        <v>2750</v>
      </c>
      <c r="P41">
        <v>3250</v>
      </c>
      <c r="Q41" s="45">
        <v>39563</v>
      </c>
      <c r="T41" s="4">
        <f t="shared" si="3"/>
        <v>0.7122</v>
      </c>
      <c r="V41" s="3">
        <f t="shared" si="16"/>
        <v>8705.419825891602</v>
      </c>
      <c r="W41" s="3">
        <f t="shared" si="4"/>
        <v>9969.109800617804</v>
      </c>
      <c r="X41" s="3">
        <f t="shared" si="5"/>
        <v>11654.029766919404</v>
      </c>
      <c r="Y41" s="3">
        <f t="shared" si="6"/>
        <v>12917.719741645604</v>
      </c>
      <c r="Z41" s="3">
        <f t="shared" si="7"/>
        <v>6178.039876439202</v>
      </c>
      <c r="AA41" s="3">
        <f t="shared" si="8"/>
        <v>7160.909856781802</v>
      </c>
      <c r="AB41" s="3">
        <f t="shared" si="9"/>
        <v>8424.599831508003</v>
      </c>
      <c r="AC41" s="3">
        <f t="shared" si="10"/>
        <v>9547.879809042402</v>
      </c>
      <c r="AD41" s="3">
        <f t="shared" si="11"/>
        <v>2878.404942431901</v>
      </c>
      <c r="AE41" s="3">
        <f t="shared" si="12"/>
        <v>3299.634934007301</v>
      </c>
      <c r="AF41" s="3">
        <f t="shared" si="13"/>
        <v>3861.274922774501</v>
      </c>
      <c r="AG41" s="3">
        <f t="shared" si="14"/>
        <v>4563.324908733502</v>
      </c>
      <c r="AH41" s="3"/>
      <c r="AI41">
        <f t="shared" si="20"/>
        <v>66</v>
      </c>
      <c r="AJ41" s="3">
        <f>IF(ISNUMBER(HLOOKUP(listkey,$V$3:$AG$94,ROWS($A$3:C41),FALSE)),HLOOKUP(listkey,$V$3:$AG$94,ROWS($A$3:C41),FALSE)+CODE(LEFT($AK41))/1000+CODE(MID($AK41,2,1))/10000+CODE(RIGHT($AK41))/5000,"")</f>
        <v>9969.216900617805</v>
      </c>
      <c r="AK41" t="str">
        <f t="shared" si="17"/>
        <v>Jordan</v>
      </c>
      <c r="AL41" s="3">
        <f>IF(ISNUMBER(HLOOKUP(AL$3,$V$3:$AG$94,ROWS($A$3:C41),FALSE)),HLOOKUP(AL$3,$V$3:$AG$94,ROWS($A$3:C41),FALSE)+CODE(LEFT($AK41))/1000,"")</f>
        <v>8705.493825891603</v>
      </c>
      <c r="AM41" s="3">
        <f>IF(ISNUMBER(HLOOKUP(AM$3,$V$3:$AG$94,ROWS($A$3:D41),FALSE)),HLOOKUP(AM$3,$V$3:$AG$94,ROWS($A$3:D41),FALSE)+CODE(LEFT($AK41))/1000,"")</f>
        <v>9969.183800617804</v>
      </c>
      <c r="AN41" s="3">
        <f>IF(ISNUMBER(HLOOKUP(AN$3,$V$3:$AG$94,ROWS($A$3:E41),FALSE)),HLOOKUP(AN$3,$V$3:$AG$94,ROWS($A$3:E41),FALSE)+CODE(LEFT($AK41))/1000,"")</f>
        <v>11654.103766919405</v>
      </c>
      <c r="AO41" s="3">
        <f>IF(ISNUMBER(HLOOKUP(AO$3,$V$3:$AG$94,ROWS($A$3:F41),FALSE)),HLOOKUP(AO$3,$V$3:$AG$94,ROWS($A$3:F41),FALSE)+CODE(LEFT($AK41))/1000,"")</f>
        <v>12917.793741645604</v>
      </c>
      <c r="AP41" s="3" t="b">
        <f t="shared" si="18"/>
        <v>1</v>
      </c>
    </row>
    <row r="42" spans="1:42" ht="12.75">
      <c r="A42" t="b">
        <f t="shared" si="19"/>
        <v>1</v>
      </c>
      <c r="B42" t="s">
        <v>1253</v>
      </c>
      <c r="C42" t="s">
        <v>1251</v>
      </c>
      <c r="D42">
        <f t="shared" si="2"/>
        <v>1</v>
      </c>
      <c r="E42" t="e">
        <v>#N/A</v>
      </c>
      <c r="F42">
        <v>9400</v>
      </c>
      <c r="G42">
        <v>10100</v>
      </c>
      <c r="H42">
        <v>11300</v>
      </c>
      <c r="I42" t="e">
        <v>#N/A</v>
      </c>
      <c r="J42">
        <v>7000</v>
      </c>
      <c r="K42">
        <v>7600</v>
      </c>
      <c r="L42">
        <v>8200</v>
      </c>
      <c r="M42" t="e">
        <v>#N/A</v>
      </c>
      <c r="N42">
        <v>3200</v>
      </c>
      <c r="O42">
        <v>3600</v>
      </c>
      <c r="P42">
        <v>4200</v>
      </c>
      <c r="Q42" s="45">
        <v>39563</v>
      </c>
      <c r="T42" s="4">
        <f t="shared" si="3"/>
        <v>1</v>
      </c>
      <c r="V42" s="3" t="e">
        <f t="shared" si="16"/>
        <v>#N/A</v>
      </c>
      <c r="W42" s="3">
        <f t="shared" si="4"/>
        <v>9400</v>
      </c>
      <c r="X42" s="3">
        <f t="shared" si="5"/>
        <v>10100</v>
      </c>
      <c r="Y42" s="3">
        <f t="shared" si="6"/>
        <v>11300</v>
      </c>
      <c r="Z42" s="3" t="e">
        <f t="shared" si="7"/>
        <v>#N/A</v>
      </c>
      <c r="AA42" s="3">
        <f t="shared" si="8"/>
        <v>7000</v>
      </c>
      <c r="AB42" s="3">
        <f t="shared" si="9"/>
        <v>7600</v>
      </c>
      <c r="AC42" s="3">
        <f t="shared" si="10"/>
        <v>8200</v>
      </c>
      <c r="AD42" s="3" t="e">
        <f t="shared" si="11"/>
        <v>#N/A</v>
      </c>
      <c r="AE42" s="3">
        <f t="shared" si="12"/>
        <v>3200</v>
      </c>
      <c r="AF42" s="3">
        <f t="shared" si="13"/>
        <v>3600</v>
      </c>
      <c r="AG42" s="3">
        <f t="shared" si="14"/>
        <v>4200</v>
      </c>
      <c r="AH42" s="3"/>
      <c r="AI42">
        <f t="shared" si="20"/>
        <v>73</v>
      </c>
      <c r="AJ42" s="3">
        <f>IF(ISNUMBER(HLOOKUP(listkey,$V$3:$AG$94,ROWS($A$3:C42),FALSE)),HLOOKUP(listkey,$V$3:$AG$94,ROWS($A$3:C42),FALSE)+CODE(LEFT($AK42))/1000+CODE(MID($AK42,2,1))/10000+CODE(RIGHT($AK42))/5000,"")</f>
        <v>9400.1045</v>
      </c>
      <c r="AK42" t="str">
        <f t="shared" si="17"/>
        <v>Kenya</v>
      </c>
      <c r="AL42" s="3">
        <f>IF(ISNUMBER(HLOOKUP(AL$3,$V$3:$AG$94,ROWS($A$3:C42),FALSE)),HLOOKUP(AL$3,$V$3:$AG$94,ROWS($A$3:C42),FALSE)+CODE(LEFT($AK42))/1000,"")</f>
      </c>
      <c r="AM42" s="3">
        <f>IF(ISNUMBER(HLOOKUP(AM$3,$V$3:$AG$94,ROWS($A$3:D42),FALSE)),HLOOKUP(AM$3,$V$3:$AG$94,ROWS($A$3:D42),FALSE)+CODE(LEFT($AK42))/1000,"")</f>
        <v>9400.075</v>
      </c>
      <c r="AN42" s="3">
        <f>IF(ISNUMBER(HLOOKUP(AN$3,$V$3:$AG$94,ROWS($A$3:E42),FALSE)),HLOOKUP(AN$3,$V$3:$AG$94,ROWS($A$3:E42),FALSE)+CODE(LEFT($AK42))/1000,"")</f>
        <v>10100.075</v>
      </c>
      <c r="AO42" s="3">
        <f>IF(ISNUMBER(HLOOKUP(AO$3,$V$3:$AG$94,ROWS($A$3:F42),FALSE)),HLOOKUP(AO$3,$V$3:$AG$94,ROWS($A$3:F42),FALSE)+CODE(LEFT($AK42))/1000,"")</f>
        <v>11300.075</v>
      </c>
      <c r="AP42" s="3" t="b">
        <f t="shared" si="18"/>
        <v>1</v>
      </c>
    </row>
    <row r="43" spans="1:42" ht="12.75">
      <c r="A43" t="b">
        <f t="shared" si="19"/>
        <v>0</v>
      </c>
      <c r="B43" t="s">
        <v>1264</v>
      </c>
      <c r="C43" t="s">
        <v>1274</v>
      </c>
      <c r="D43">
        <f t="shared" si="2"/>
        <v>1011.22</v>
      </c>
      <c r="E43">
        <v>8881400</v>
      </c>
      <c r="F43">
        <v>10098900</v>
      </c>
      <c r="G43">
        <v>11604600</v>
      </c>
      <c r="H43">
        <v>13345300</v>
      </c>
      <c r="I43">
        <v>5686200</v>
      </c>
      <c r="J43">
        <v>6776800</v>
      </c>
      <c r="K43">
        <v>7789600</v>
      </c>
      <c r="L43">
        <v>8787400</v>
      </c>
      <c r="M43">
        <v>2905500</v>
      </c>
      <c r="N43">
        <v>3486700</v>
      </c>
      <c r="O43">
        <v>4009700</v>
      </c>
      <c r="P43">
        <v>4611200</v>
      </c>
      <c r="Q43" s="45">
        <v>39563</v>
      </c>
      <c r="T43" s="4">
        <f t="shared" si="3"/>
        <v>1011.22</v>
      </c>
      <c r="V43" s="3">
        <f t="shared" si="16"/>
        <v>8782.85635173355</v>
      </c>
      <c r="W43" s="3">
        <f t="shared" si="4"/>
        <v>9986.847570261663</v>
      </c>
      <c r="X43" s="3">
        <f t="shared" si="5"/>
        <v>11475.841063270109</v>
      </c>
      <c r="Y43" s="3">
        <f t="shared" si="6"/>
        <v>13197.227111805541</v>
      </c>
      <c r="Z43" s="3">
        <f t="shared" si="7"/>
        <v>5623.108720159807</v>
      </c>
      <c r="AA43" s="3">
        <f t="shared" si="8"/>
        <v>6701.607958703348</v>
      </c>
      <c r="AB43" s="3">
        <f t="shared" si="9"/>
        <v>7703.1704278000825</v>
      </c>
      <c r="AC43" s="3">
        <f t="shared" si="10"/>
        <v>8689.899329522754</v>
      </c>
      <c r="AD43" s="3">
        <f t="shared" si="11"/>
        <v>2873.2620003560055</v>
      </c>
      <c r="AE43" s="3">
        <f t="shared" si="12"/>
        <v>3448.013290876367</v>
      </c>
      <c r="AF43" s="3">
        <f t="shared" si="13"/>
        <v>3965.210339985364</v>
      </c>
      <c r="AG43" s="3">
        <f t="shared" si="14"/>
        <v>4560.036391685291</v>
      </c>
      <c r="AH43" s="3"/>
      <c r="AI43">
        <f t="shared" si="20"/>
        <v>65</v>
      </c>
      <c r="AJ43" s="3">
        <f>IF(ISNUMBER(HLOOKUP(listkey,$V$3:$AG$94,ROWS($A$3:C43),FALSE)),HLOOKUP(listkey,$V$3:$AG$94,ROWS($A$3:C43),FALSE)+CODE(LEFT($AK43))/1000+CODE(MID($AK43,2,1))/10000+CODE(RIGHT($AK43))/5000,"")</f>
        <v>9986.953070261663</v>
      </c>
      <c r="AK43" t="str">
        <f t="shared" si="17"/>
        <v>Korea</v>
      </c>
      <c r="AL43" s="3">
        <f>IF(ISNUMBER(HLOOKUP(AL$3,$V$3:$AG$94,ROWS($A$3:C43),FALSE)),HLOOKUP(AL$3,$V$3:$AG$94,ROWS($A$3:C43),FALSE)+CODE(LEFT($AK43))/1000,"")</f>
        <v>8782.93135173355</v>
      </c>
      <c r="AM43" s="3">
        <f>IF(ISNUMBER(HLOOKUP(AM$3,$V$3:$AG$94,ROWS($A$3:D43),FALSE)),HLOOKUP(AM$3,$V$3:$AG$94,ROWS($A$3:D43),FALSE)+CODE(LEFT($AK43))/1000,"")</f>
        <v>9986.922570261664</v>
      </c>
      <c r="AN43" s="3">
        <f>IF(ISNUMBER(HLOOKUP(AN$3,$V$3:$AG$94,ROWS($A$3:E43),FALSE)),HLOOKUP(AN$3,$V$3:$AG$94,ROWS($A$3:E43),FALSE)+CODE(LEFT($AK43))/1000,"")</f>
        <v>11475.91606327011</v>
      </c>
      <c r="AO43" s="3">
        <f>IF(ISNUMBER(HLOOKUP(AO$3,$V$3:$AG$94,ROWS($A$3:F43),FALSE)),HLOOKUP(AO$3,$V$3:$AG$94,ROWS($A$3:F43),FALSE)+CODE(LEFT($AK43))/1000,"")</f>
        <v>13197.302111805542</v>
      </c>
      <c r="AP43" s="3" t="b">
        <f t="shared" si="18"/>
        <v>0</v>
      </c>
    </row>
    <row r="44" spans="1:42" ht="12.75">
      <c r="A44" t="b">
        <f t="shared" si="19"/>
        <v>1</v>
      </c>
      <c r="B44" t="s">
        <v>1036</v>
      </c>
      <c r="C44" t="s">
        <v>1251</v>
      </c>
      <c r="D44">
        <f t="shared" si="2"/>
        <v>1</v>
      </c>
      <c r="E44">
        <v>10100</v>
      </c>
      <c r="F44">
        <v>10900</v>
      </c>
      <c r="G44">
        <v>11800</v>
      </c>
      <c r="H44">
        <v>13700</v>
      </c>
      <c r="I44">
        <v>7300</v>
      </c>
      <c r="J44">
        <v>8200</v>
      </c>
      <c r="K44">
        <v>9500</v>
      </c>
      <c r="L44">
        <v>10700</v>
      </c>
      <c r="M44">
        <v>3700</v>
      </c>
      <c r="N44">
        <v>4100</v>
      </c>
      <c r="O44">
        <v>4700</v>
      </c>
      <c r="P44">
        <v>5400</v>
      </c>
      <c r="Q44" s="45">
        <v>39123</v>
      </c>
      <c r="T44" s="4">
        <f t="shared" si="3"/>
        <v>1</v>
      </c>
      <c r="V44" s="3">
        <f t="shared" si="16"/>
        <v>10100</v>
      </c>
      <c r="W44" s="3">
        <f t="shared" si="4"/>
        <v>10900</v>
      </c>
      <c r="X44" s="3">
        <f t="shared" si="5"/>
        <v>11800</v>
      </c>
      <c r="Y44" s="3">
        <f t="shared" si="6"/>
        <v>13700</v>
      </c>
      <c r="Z44" s="3">
        <f t="shared" si="7"/>
        <v>7300</v>
      </c>
      <c r="AA44" s="3">
        <f t="shared" si="8"/>
        <v>8200</v>
      </c>
      <c r="AB44" s="3">
        <f t="shared" si="9"/>
        <v>9500</v>
      </c>
      <c r="AC44" s="3">
        <f t="shared" si="10"/>
        <v>10700</v>
      </c>
      <c r="AD44" s="3">
        <f t="shared" si="11"/>
        <v>3700</v>
      </c>
      <c r="AE44" s="3">
        <f t="shared" si="12"/>
        <v>4100</v>
      </c>
      <c r="AF44" s="3">
        <f t="shared" si="13"/>
        <v>4700</v>
      </c>
      <c r="AG44" s="3">
        <f t="shared" si="14"/>
        <v>5400</v>
      </c>
      <c r="AH44" s="3"/>
      <c r="AI44">
        <f t="shared" si="20"/>
        <v>58</v>
      </c>
      <c r="AJ44" s="3">
        <f>IF(ISNUMBER(HLOOKUP(listkey,$V$3:$AG$94,ROWS($A$3:C44),FALSE)),HLOOKUP(listkey,$V$3:$AG$94,ROWS($A$3:C44),FALSE)+CODE(LEFT($AK44))/1000+CODE(MID($AK44,2,1))/10000+CODE(RIGHT($AK44))/5000,"")</f>
        <v>10900.108400000001</v>
      </c>
      <c r="AK44" t="str">
        <f t="shared" si="17"/>
        <v>Krygyzstan</v>
      </c>
      <c r="AL44" s="3">
        <f>IF(ISNUMBER(HLOOKUP(AL$3,$V$3:$AG$94,ROWS($A$3:C44),FALSE)),HLOOKUP(AL$3,$V$3:$AG$94,ROWS($A$3:C44),FALSE)+CODE(LEFT($AK44))/1000,"")</f>
        <v>10100.075</v>
      </c>
      <c r="AM44" s="3">
        <f>IF(ISNUMBER(HLOOKUP(AM$3,$V$3:$AG$94,ROWS($A$3:D44),FALSE)),HLOOKUP(AM$3,$V$3:$AG$94,ROWS($A$3:D44),FALSE)+CODE(LEFT($AK44))/1000,"")</f>
        <v>10900.075</v>
      </c>
      <c r="AN44" s="3">
        <f>IF(ISNUMBER(HLOOKUP(AN$3,$V$3:$AG$94,ROWS($A$3:E44),FALSE)),HLOOKUP(AN$3,$V$3:$AG$94,ROWS($A$3:E44),FALSE)+CODE(LEFT($AK44))/1000,"")</f>
        <v>11800.075</v>
      </c>
      <c r="AO44" s="3">
        <f>IF(ISNUMBER(HLOOKUP(AO$3,$V$3:$AG$94,ROWS($A$3:F44),FALSE)),HLOOKUP(AO$3,$V$3:$AG$94,ROWS($A$3:F44),FALSE)+CODE(LEFT($AK44))/1000,"")</f>
        <v>13700.075</v>
      </c>
      <c r="AP44" s="3" t="b">
        <f t="shared" si="18"/>
        <v>1</v>
      </c>
    </row>
    <row r="45" spans="1:42" ht="12.75">
      <c r="A45" t="b">
        <f t="shared" si="19"/>
        <v>0</v>
      </c>
      <c r="B45" t="s">
        <v>1337</v>
      </c>
      <c r="C45" t="s">
        <v>1346</v>
      </c>
      <c r="D45">
        <f t="shared" si="2"/>
        <v>0.2681</v>
      </c>
      <c r="E45">
        <v>2700</v>
      </c>
      <c r="F45">
        <v>3200</v>
      </c>
      <c r="G45">
        <v>3600</v>
      </c>
      <c r="H45">
        <v>4000</v>
      </c>
      <c r="I45">
        <v>1879</v>
      </c>
      <c r="J45">
        <v>2149</v>
      </c>
      <c r="K45">
        <v>2500</v>
      </c>
      <c r="L45">
        <v>2800</v>
      </c>
      <c r="M45">
        <v>870</v>
      </c>
      <c r="N45">
        <v>990</v>
      </c>
      <c r="O45">
        <v>1190</v>
      </c>
      <c r="P45">
        <v>1290</v>
      </c>
      <c r="Q45" s="45">
        <v>39563</v>
      </c>
      <c r="T45" s="4">
        <f t="shared" si="3"/>
        <v>0.2681</v>
      </c>
      <c r="V45" s="3">
        <f t="shared" si="16"/>
        <v>10070.869078701977</v>
      </c>
      <c r="W45" s="3">
        <f t="shared" si="4"/>
        <v>11935.844834017158</v>
      </c>
      <c r="X45" s="3">
        <f t="shared" si="5"/>
        <v>13427.825438269303</v>
      </c>
      <c r="Y45" s="3">
        <f t="shared" si="6"/>
        <v>14919.806042521446</v>
      </c>
      <c r="Z45" s="3">
        <f t="shared" si="7"/>
        <v>7008.57888847445</v>
      </c>
      <c r="AA45" s="3">
        <f t="shared" si="8"/>
        <v>8015.665796344648</v>
      </c>
      <c r="AB45" s="3">
        <f t="shared" si="9"/>
        <v>9324.878776575904</v>
      </c>
      <c r="AC45" s="3">
        <f t="shared" si="10"/>
        <v>10443.864229765013</v>
      </c>
      <c r="AD45" s="3">
        <f t="shared" si="11"/>
        <v>3245.0578142484146</v>
      </c>
      <c r="AE45" s="3">
        <f t="shared" si="12"/>
        <v>3692.6519955240583</v>
      </c>
      <c r="AF45" s="3">
        <f t="shared" si="13"/>
        <v>4438.642297650131</v>
      </c>
      <c r="AG45" s="3">
        <f t="shared" si="14"/>
        <v>4811.637448713167</v>
      </c>
      <c r="AH45" s="3"/>
      <c r="AI45">
        <f t="shared" si="20"/>
        <v>49</v>
      </c>
      <c r="AJ45" s="3">
        <f>IF(ISNUMBER(HLOOKUP(listkey,$V$3:$AG$94,ROWS($A$3:C45),FALSE)),HLOOKUP(listkey,$V$3:$AG$94,ROWS($A$3:C45),FALSE)+CODE(LEFT($AK45))/1000+CODE(MID($AK45,2,1))/10000+CODE(RIGHT($AK45))/5000,"")</f>
        <v>11935.954734017158</v>
      </c>
      <c r="AK45" t="str">
        <f t="shared" si="17"/>
        <v>Kuwait</v>
      </c>
      <c r="AL45" s="3">
        <f>IF(ISNUMBER(HLOOKUP(AL$3,$V$3:$AG$94,ROWS($A$3:C45),FALSE)),HLOOKUP(AL$3,$V$3:$AG$94,ROWS($A$3:C45),FALSE)+CODE(LEFT($AK45))/1000,"")</f>
        <v>10070.944078701978</v>
      </c>
      <c r="AM45" s="3">
        <f>IF(ISNUMBER(HLOOKUP(AM$3,$V$3:$AG$94,ROWS($A$3:D45),FALSE)),HLOOKUP(AM$3,$V$3:$AG$94,ROWS($A$3:D45),FALSE)+CODE(LEFT($AK45))/1000,"")</f>
        <v>11935.919834017159</v>
      </c>
      <c r="AN45" s="3">
        <f>IF(ISNUMBER(HLOOKUP(AN$3,$V$3:$AG$94,ROWS($A$3:E45),FALSE)),HLOOKUP(AN$3,$V$3:$AG$94,ROWS($A$3:E45),FALSE)+CODE(LEFT($AK45))/1000,"")</f>
        <v>13427.900438269304</v>
      </c>
      <c r="AO45" s="3">
        <f>IF(ISNUMBER(HLOOKUP(AO$3,$V$3:$AG$94,ROWS($A$3:F45),FALSE)),HLOOKUP(AO$3,$V$3:$AG$94,ROWS($A$3:F45),FALSE)+CODE(LEFT($AK45))/1000,"")</f>
        <v>14919.881042521447</v>
      </c>
      <c r="AP45" s="3" t="b">
        <f t="shared" si="18"/>
        <v>0</v>
      </c>
    </row>
    <row r="46" spans="1:42" ht="12.75">
      <c r="A46" t="b">
        <f t="shared" si="19"/>
        <v>1</v>
      </c>
      <c r="B46" t="s">
        <v>1292</v>
      </c>
      <c r="C46" t="s">
        <v>1320</v>
      </c>
      <c r="D46">
        <f t="shared" si="2"/>
        <v>0.4512</v>
      </c>
      <c r="E46">
        <v>4899.77728285078</v>
      </c>
      <c r="F46">
        <v>5657.906458797327</v>
      </c>
      <c r="G46">
        <v>6415.590200445434</v>
      </c>
      <c r="H46">
        <v>6971.492204899777</v>
      </c>
      <c r="I46">
        <v>3232.5167037861916</v>
      </c>
      <c r="J46">
        <v>3939.8663697104676</v>
      </c>
      <c r="K46">
        <v>4344.320712694877</v>
      </c>
      <c r="L46">
        <v>5051.670378619154</v>
      </c>
      <c r="M46">
        <v>1211.5812917594653</v>
      </c>
      <c r="N46">
        <v>1464.142538975501</v>
      </c>
      <c r="O46">
        <v>1817.817371937639</v>
      </c>
      <c r="P46">
        <v>2121.1581291759467</v>
      </c>
      <c r="Q46" s="45">
        <v>39563</v>
      </c>
      <c r="T46" s="4">
        <f t="shared" si="3"/>
        <v>0.4512</v>
      </c>
      <c r="V46" s="3">
        <f t="shared" si="16"/>
        <v>10859.435467311125</v>
      </c>
      <c r="W46" s="3">
        <f t="shared" si="4"/>
        <v>12539.686300525991</v>
      </c>
      <c r="X46" s="3">
        <f t="shared" si="5"/>
        <v>14218.949912334738</v>
      </c>
      <c r="Y46" s="3">
        <f t="shared" si="6"/>
        <v>15451.002227171492</v>
      </c>
      <c r="Z46" s="3">
        <f t="shared" si="7"/>
        <v>7164.265744206985</v>
      </c>
      <c r="AA46" s="3">
        <f t="shared" si="8"/>
        <v>8731.973337124264</v>
      </c>
      <c r="AB46" s="3">
        <f t="shared" si="9"/>
        <v>9628.37037388049</v>
      </c>
      <c r="AC46" s="3">
        <f t="shared" si="10"/>
        <v>11196.07796679777</v>
      </c>
      <c r="AD46" s="3">
        <f t="shared" si="11"/>
        <v>2685.242224644205</v>
      </c>
      <c r="AE46" s="3">
        <f t="shared" si="12"/>
        <v>3244.996761913788</v>
      </c>
      <c r="AF46" s="3">
        <f t="shared" si="13"/>
        <v>4028.8505583724273</v>
      </c>
      <c r="AG46" s="3">
        <f t="shared" si="14"/>
        <v>4701.148335939598</v>
      </c>
      <c r="AH46" s="3"/>
      <c r="AI46">
        <f t="shared" si="20"/>
        <v>35</v>
      </c>
      <c r="AJ46" s="3">
        <f>IF(ISNUMBER(HLOOKUP(listkey,$V$3:$AG$94,ROWS($A$3:C46),FALSE)),HLOOKUP(listkey,$V$3:$AG$94,ROWS($A$3:C46),FALSE)+CODE(LEFT($AK46))/1000+CODE(MID($AK46,2,1))/10000+CODE(RIGHT($AK46))/5000,"")</f>
        <v>12539.79140052599</v>
      </c>
      <c r="AK46" t="str">
        <f t="shared" si="17"/>
        <v>Latvia</v>
      </c>
      <c r="AL46" s="3">
        <f>IF(ISNUMBER(HLOOKUP(AL$3,$V$3:$AG$94,ROWS($A$3:C46),FALSE)),HLOOKUP(AL$3,$V$3:$AG$94,ROWS($A$3:C46),FALSE)+CODE(LEFT($AK46))/1000,"")</f>
        <v>10859.511467311124</v>
      </c>
      <c r="AM46" s="3">
        <f>IF(ISNUMBER(HLOOKUP(AM$3,$V$3:$AG$94,ROWS($A$3:D46),FALSE)),HLOOKUP(AM$3,$V$3:$AG$94,ROWS($A$3:D46),FALSE)+CODE(LEFT($AK46))/1000,"")</f>
        <v>12539.76230052599</v>
      </c>
      <c r="AN46" s="3">
        <f>IF(ISNUMBER(HLOOKUP(AN$3,$V$3:$AG$94,ROWS($A$3:E46),FALSE)),HLOOKUP(AN$3,$V$3:$AG$94,ROWS($A$3:E46),FALSE)+CODE(LEFT($AK46))/1000,"")</f>
        <v>14219.025912334737</v>
      </c>
      <c r="AO46" s="3">
        <f>IF(ISNUMBER(HLOOKUP(AO$3,$V$3:$AG$94,ROWS($A$3:F46),FALSE)),HLOOKUP(AO$3,$V$3:$AG$94,ROWS($A$3:F46),FALSE)+CODE(LEFT($AK46))/1000,"")</f>
        <v>15451.07822717149</v>
      </c>
      <c r="AP46" s="3" t="b">
        <f t="shared" si="18"/>
        <v>1</v>
      </c>
    </row>
    <row r="47" spans="1:42" ht="12.75">
      <c r="A47" t="b">
        <f t="shared" si="19"/>
        <v>1</v>
      </c>
      <c r="B47" t="s">
        <v>1333</v>
      </c>
      <c r="C47" t="s">
        <v>1251</v>
      </c>
      <c r="D47">
        <f t="shared" si="2"/>
        <v>1</v>
      </c>
      <c r="E47">
        <v>8800</v>
      </c>
      <c r="F47">
        <v>10000</v>
      </c>
      <c r="G47">
        <v>11700</v>
      </c>
      <c r="H47">
        <v>13000</v>
      </c>
      <c r="I47">
        <v>6200</v>
      </c>
      <c r="J47">
        <v>7200</v>
      </c>
      <c r="K47">
        <v>8500</v>
      </c>
      <c r="L47">
        <v>9600</v>
      </c>
      <c r="M47">
        <v>2900</v>
      </c>
      <c r="N47">
        <v>3300</v>
      </c>
      <c r="O47">
        <v>3900</v>
      </c>
      <c r="P47">
        <v>4600</v>
      </c>
      <c r="Q47" s="45">
        <v>39563</v>
      </c>
      <c r="T47" s="4">
        <f t="shared" si="3"/>
        <v>1</v>
      </c>
      <c r="V47" s="3">
        <f t="shared" si="16"/>
        <v>8800</v>
      </c>
      <c r="W47" s="3">
        <f t="shared" si="4"/>
        <v>10000</v>
      </c>
      <c r="X47" s="3">
        <f t="shared" si="5"/>
        <v>11700</v>
      </c>
      <c r="Y47" s="3">
        <f t="shared" si="6"/>
        <v>13000</v>
      </c>
      <c r="Z47" s="3">
        <f t="shared" si="7"/>
        <v>6200</v>
      </c>
      <c r="AA47" s="3">
        <f t="shared" si="8"/>
        <v>7200</v>
      </c>
      <c r="AB47" s="3">
        <f t="shared" si="9"/>
        <v>8500</v>
      </c>
      <c r="AC47" s="3">
        <f t="shared" si="10"/>
        <v>9600</v>
      </c>
      <c r="AD47" s="3">
        <f t="shared" si="11"/>
        <v>2900</v>
      </c>
      <c r="AE47" s="3">
        <f t="shared" si="12"/>
        <v>3300</v>
      </c>
      <c r="AF47" s="3">
        <f t="shared" si="13"/>
        <v>3900</v>
      </c>
      <c r="AG47" s="3">
        <f t="shared" si="14"/>
        <v>4600</v>
      </c>
      <c r="AH47" s="3"/>
      <c r="AI47">
        <f t="shared" si="20"/>
        <v>63</v>
      </c>
      <c r="AJ47" s="3">
        <f>IF(ISNUMBER(HLOOKUP(listkey,$V$3:$AG$94,ROWS($A$3:C47),FALSE)),HLOOKUP(listkey,$V$3:$AG$94,ROWS($A$3:C47),FALSE)+CODE(LEFT($AK47))/1000+CODE(MID($AK47,2,1))/10000+CODE(RIGHT($AK47))/5000,"")</f>
        <v>10000.1081</v>
      </c>
      <c r="AK47" t="str">
        <f t="shared" si="17"/>
        <v>Lebanon</v>
      </c>
      <c r="AL47" s="3">
        <f>IF(ISNUMBER(HLOOKUP(AL$3,$V$3:$AG$94,ROWS($A$3:C47),FALSE)),HLOOKUP(AL$3,$V$3:$AG$94,ROWS($A$3:C47),FALSE)+CODE(LEFT($AK47))/1000,"")</f>
        <v>8800.076</v>
      </c>
      <c r="AM47" s="3">
        <f>IF(ISNUMBER(HLOOKUP(AM$3,$V$3:$AG$94,ROWS($A$3:D47),FALSE)),HLOOKUP(AM$3,$V$3:$AG$94,ROWS($A$3:D47),FALSE)+CODE(LEFT($AK47))/1000,"")</f>
        <v>10000.076</v>
      </c>
      <c r="AN47" s="3">
        <f>IF(ISNUMBER(HLOOKUP(AN$3,$V$3:$AG$94,ROWS($A$3:E47),FALSE)),HLOOKUP(AN$3,$V$3:$AG$94,ROWS($A$3:E47),FALSE)+CODE(LEFT($AK47))/1000,"")</f>
        <v>11700.076</v>
      </c>
      <c r="AO47" s="3">
        <f>IF(ISNUMBER(HLOOKUP(AO$3,$V$3:$AG$94,ROWS($A$3:F47),FALSE)),HLOOKUP(AO$3,$V$3:$AG$94,ROWS($A$3:F47),FALSE)+CODE(LEFT($AK47))/1000,"")</f>
        <v>13000.076</v>
      </c>
      <c r="AP47" s="3" t="b">
        <f t="shared" si="18"/>
        <v>1</v>
      </c>
    </row>
    <row r="48" spans="1:42" ht="12.75">
      <c r="A48" t="b">
        <f t="shared" si="19"/>
        <v>1</v>
      </c>
      <c r="B48" t="s">
        <v>1463</v>
      </c>
      <c r="C48" t="s">
        <v>860</v>
      </c>
      <c r="D48">
        <f t="shared" si="2"/>
        <v>2.2261</v>
      </c>
      <c r="E48">
        <v>24469</v>
      </c>
      <c r="F48">
        <v>27349</v>
      </c>
      <c r="G48">
        <v>31669</v>
      </c>
      <c r="H48">
        <v>35949</v>
      </c>
      <c r="I48">
        <v>16649</v>
      </c>
      <c r="J48">
        <v>18599</v>
      </c>
      <c r="K48">
        <v>21399</v>
      </c>
      <c r="L48">
        <v>24100</v>
      </c>
      <c r="M48">
        <v>6849</v>
      </c>
      <c r="N48">
        <v>8249</v>
      </c>
      <c r="O48">
        <v>9949</v>
      </c>
      <c r="P48">
        <v>11749</v>
      </c>
      <c r="Q48" s="45">
        <v>39563</v>
      </c>
      <c r="T48" s="4">
        <f t="shared" si="3"/>
        <v>2.2261</v>
      </c>
      <c r="V48" s="3">
        <f t="shared" si="16"/>
        <v>10991.869188266473</v>
      </c>
      <c r="W48" s="3">
        <f t="shared" si="4"/>
        <v>12285.611607744484</v>
      </c>
      <c r="X48" s="3">
        <f t="shared" si="5"/>
        <v>14226.225236961502</v>
      </c>
      <c r="Y48" s="3">
        <f t="shared" si="6"/>
        <v>16148.870221463545</v>
      </c>
      <c r="Z48" s="3">
        <f t="shared" si="7"/>
        <v>7478.999146489376</v>
      </c>
      <c r="AA48" s="3">
        <f t="shared" si="8"/>
        <v>8354.970576344278</v>
      </c>
      <c r="AB48" s="3">
        <f t="shared" si="9"/>
        <v>9612.775706392344</v>
      </c>
      <c r="AC48" s="3">
        <f t="shared" si="10"/>
        <v>10826.108440770853</v>
      </c>
      <c r="AD48" s="3">
        <f t="shared" si="11"/>
        <v>3076.6811913211445</v>
      </c>
      <c r="AE48" s="3">
        <f t="shared" si="12"/>
        <v>3705.5837563451773</v>
      </c>
      <c r="AF48" s="3">
        <f t="shared" si="13"/>
        <v>4469.251156731503</v>
      </c>
      <c r="AG48" s="3">
        <f t="shared" si="14"/>
        <v>5277.84016890526</v>
      </c>
      <c r="AH48" s="3"/>
      <c r="AI48">
        <f t="shared" si="20"/>
        <v>36</v>
      </c>
      <c r="AJ48" s="3">
        <f>IF(ISNUMBER(HLOOKUP(listkey,$V$3:$AG$94,ROWS($A$3:C48),FALSE)),HLOOKUP(listkey,$V$3:$AG$94,ROWS($A$3:C48),FALSE)+CODE(LEFT($AK48))/1000+CODE(MID($AK48,2,1))/10000+CODE(RIGHT($AK48))/5000,"")</f>
        <v>12285.717507744483</v>
      </c>
      <c r="AK48" t="str">
        <f t="shared" si="17"/>
        <v>Lithuania</v>
      </c>
      <c r="AL48" s="3">
        <f>IF(ISNUMBER(HLOOKUP(AL$3,$V$3:$AG$94,ROWS($A$3:C48),FALSE)),HLOOKUP(AL$3,$V$3:$AG$94,ROWS($A$3:C48),FALSE)+CODE(LEFT($AK48))/1000,"")</f>
        <v>10991.945188266473</v>
      </c>
      <c r="AM48" s="3">
        <f>IF(ISNUMBER(HLOOKUP(AM$3,$V$3:$AG$94,ROWS($A$3:D48),FALSE)),HLOOKUP(AM$3,$V$3:$AG$94,ROWS($A$3:D48),FALSE)+CODE(LEFT($AK48))/1000,"")</f>
        <v>12285.687607744483</v>
      </c>
      <c r="AN48" s="3">
        <f>IF(ISNUMBER(HLOOKUP(AN$3,$V$3:$AG$94,ROWS($A$3:E48),FALSE)),HLOOKUP(AN$3,$V$3:$AG$94,ROWS($A$3:E48),FALSE)+CODE(LEFT($AK48))/1000,"")</f>
        <v>14226.3012369615</v>
      </c>
      <c r="AO48" s="3">
        <f>IF(ISNUMBER(HLOOKUP(AO$3,$V$3:$AG$94,ROWS($A$3:F48),FALSE)),HLOOKUP(AO$3,$V$3:$AG$94,ROWS($A$3:F48),FALSE)+CODE(LEFT($AK48))/1000,"")</f>
        <v>16148.946221463544</v>
      </c>
      <c r="AP48" s="3" t="b">
        <f t="shared" si="18"/>
        <v>1</v>
      </c>
    </row>
    <row r="49" spans="1:42" ht="12.75">
      <c r="A49" t="b">
        <f t="shared" si="19"/>
        <v>0</v>
      </c>
      <c r="B49" t="s">
        <v>1295</v>
      </c>
      <c r="C49" t="s">
        <v>1308</v>
      </c>
      <c r="D49">
        <f t="shared" si="2"/>
        <v>0.6429</v>
      </c>
      <c r="E49">
        <v>8199</v>
      </c>
      <c r="F49">
        <v>9099</v>
      </c>
      <c r="G49">
        <v>10299</v>
      </c>
      <c r="H49">
        <v>11499</v>
      </c>
      <c r="I49">
        <v>4999</v>
      </c>
      <c r="J49">
        <v>5899</v>
      </c>
      <c r="K49">
        <v>6599</v>
      </c>
      <c r="L49">
        <v>7599</v>
      </c>
      <c r="M49">
        <v>1949</v>
      </c>
      <c r="N49">
        <v>2349</v>
      </c>
      <c r="O49">
        <v>2849</v>
      </c>
      <c r="P49">
        <v>3299</v>
      </c>
      <c r="Q49" s="45">
        <v>39563</v>
      </c>
      <c r="T49" s="4">
        <f t="shared" si="3"/>
        <v>0.6429</v>
      </c>
      <c r="V49" s="3">
        <f t="shared" si="16"/>
        <v>12753.149790013998</v>
      </c>
      <c r="W49" s="3">
        <f t="shared" si="4"/>
        <v>14153.056462902472</v>
      </c>
      <c r="X49" s="3">
        <f t="shared" si="5"/>
        <v>16019.598693420437</v>
      </c>
      <c r="Y49" s="3">
        <f t="shared" si="6"/>
        <v>17886.140923938405</v>
      </c>
      <c r="Z49" s="3">
        <f t="shared" si="7"/>
        <v>7775.703841966091</v>
      </c>
      <c r="AA49" s="3">
        <f t="shared" si="8"/>
        <v>9175.610514854565</v>
      </c>
      <c r="AB49" s="3">
        <f t="shared" si="9"/>
        <v>10264.426815990044</v>
      </c>
      <c r="AC49" s="3">
        <f t="shared" si="10"/>
        <v>11819.878674755017</v>
      </c>
      <c r="AD49" s="3">
        <f t="shared" si="11"/>
        <v>3031.575672732929</v>
      </c>
      <c r="AE49" s="3">
        <f t="shared" si="12"/>
        <v>3653.756416238917</v>
      </c>
      <c r="AF49" s="3">
        <f t="shared" si="13"/>
        <v>4431.482345621403</v>
      </c>
      <c r="AG49" s="3">
        <f t="shared" si="14"/>
        <v>5131.435682065639</v>
      </c>
      <c r="AH49" s="3"/>
      <c r="AI49">
        <f t="shared" si="20"/>
        <v>17</v>
      </c>
      <c r="AJ49" s="3">
        <f>IF(ISNUMBER(HLOOKUP(listkey,$V$3:$AG$94,ROWS($A$3:C49),FALSE)),HLOOKUP(listkey,$V$3:$AG$94,ROWS($A$3:C49),FALSE)+CODE(LEFT($AK49))/1000+CODE(MID($AK49,2,1))/10000+CODE(RIGHT($AK49))/5000,"")</f>
        <v>14153.16476290247</v>
      </c>
      <c r="AK49" t="str">
        <f t="shared" si="17"/>
        <v>Luxembourg</v>
      </c>
      <c r="AL49" s="3">
        <f>IF(ISNUMBER(HLOOKUP(AL$3,$V$3:$AG$94,ROWS($A$3:C49),FALSE)),HLOOKUP(AL$3,$V$3:$AG$94,ROWS($A$3:C49),FALSE)+CODE(LEFT($AK49))/1000,"")</f>
        <v>12753.225790013998</v>
      </c>
      <c r="AM49" s="3">
        <f>IF(ISNUMBER(HLOOKUP(AM$3,$V$3:$AG$94,ROWS($A$3:D49),FALSE)),HLOOKUP(AM$3,$V$3:$AG$94,ROWS($A$3:D49),FALSE)+CODE(LEFT($AK49))/1000,"")</f>
        <v>14153.132462902471</v>
      </c>
      <c r="AN49" s="3">
        <f>IF(ISNUMBER(HLOOKUP(AN$3,$V$3:$AG$94,ROWS($A$3:E49),FALSE)),HLOOKUP(AN$3,$V$3:$AG$94,ROWS($A$3:E49),FALSE)+CODE(LEFT($AK49))/1000,"")</f>
        <v>16019.674693420437</v>
      </c>
      <c r="AO49" s="3">
        <f>IF(ISNUMBER(HLOOKUP(AO$3,$V$3:$AG$94,ROWS($A$3:F49),FALSE)),HLOOKUP(AO$3,$V$3:$AG$94,ROWS($A$3:F49),FALSE)+CODE(LEFT($AK49))/1000,"")</f>
        <v>17886.216923938406</v>
      </c>
      <c r="AP49" s="3" t="b">
        <f t="shared" si="18"/>
        <v>0</v>
      </c>
    </row>
    <row r="50" spans="1:42" ht="12.75">
      <c r="A50" t="b">
        <f t="shared" si="19"/>
        <v>1</v>
      </c>
      <c r="B50" t="s">
        <v>1574</v>
      </c>
      <c r="C50" t="s">
        <v>1251</v>
      </c>
      <c r="D50">
        <f t="shared" si="2"/>
        <v>1</v>
      </c>
      <c r="E50" t="s">
        <v>1038</v>
      </c>
      <c r="F50">
        <v>6299</v>
      </c>
      <c r="G50">
        <v>7199</v>
      </c>
      <c r="H50">
        <v>8199</v>
      </c>
      <c r="I50" t="s">
        <v>1038</v>
      </c>
      <c r="J50">
        <v>5399</v>
      </c>
      <c r="K50">
        <v>6099</v>
      </c>
      <c r="L50">
        <v>7099</v>
      </c>
      <c r="M50" t="s">
        <v>1038</v>
      </c>
      <c r="N50">
        <v>2699</v>
      </c>
      <c r="O50">
        <v>3099</v>
      </c>
      <c r="P50">
        <v>3699</v>
      </c>
      <c r="Q50" s="45">
        <v>38902</v>
      </c>
      <c r="T50" s="4">
        <f t="shared" si="3"/>
        <v>1</v>
      </c>
      <c r="V50" s="3">
        <f t="shared" si="16"/>
      </c>
      <c r="W50" s="3">
        <f t="shared" si="4"/>
        <v>6299</v>
      </c>
      <c r="X50" s="3">
        <f t="shared" si="5"/>
        <v>7199</v>
      </c>
      <c r="Y50" s="3">
        <f t="shared" si="6"/>
        <v>8199</v>
      </c>
      <c r="Z50" s="3">
        <f t="shared" si="7"/>
      </c>
      <c r="AA50" s="3">
        <f t="shared" si="8"/>
        <v>5399</v>
      </c>
      <c r="AB50" s="3">
        <f t="shared" si="9"/>
        <v>6099</v>
      </c>
      <c r="AC50" s="3">
        <f t="shared" si="10"/>
        <v>7099</v>
      </c>
      <c r="AD50" s="3">
        <f t="shared" si="11"/>
      </c>
      <c r="AE50" s="3">
        <f t="shared" si="12"/>
        <v>2699</v>
      </c>
      <c r="AF50" s="3">
        <f t="shared" si="13"/>
        <v>3099</v>
      </c>
      <c r="AG50" s="3">
        <f t="shared" si="14"/>
        <v>3699</v>
      </c>
      <c r="AH50" s="3"/>
      <c r="AI50">
        <f t="shared" si="20"/>
        <v>88</v>
      </c>
      <c r="AJ50" s="3">
        <f>IF(ISNUMBER(HLOOKUP(listkey,$V$3:$AG$94,ROWS($A$3:C50),FALSE)),HLOOKUP(listkey,$V$3:$AG$94,ROWS($A$3:C50),FALSE)+CODE(LEFT($AK50))/1000+CODE(MID($AK50,2,1))/10000+CODE(RIGHT($AK50))/5000,"")</f>
        <v>6299.1077</v>
      </c>
      <c r="AK50" t="str">
        <f t="shared" si="17"/>
        <v>Malawi</v>
      </c>
      <c r="AL50" s="3">
        <f>IF(ISNUMBER(HLOOKUP(AL$3,$V$3:$AG$94,ROWS($A$3:C50),FALSE)),HLOOKUP(AL$3,$V$3:$AG$94,ROWS($A$3:C50),FALSE)+CODE(LEFT($AK50))/1000,"")</f>
      </c>
      <c r="AM50" s="3">
        <f>IF(ISNUMBER(HLOOKUP(AM$3,$V$3:$AG$94,ROWS($A$3:D50),FALSE)),HLOOKUP(AM$3,$V$3:$AG$94,ROWS($A$3:D50),FALSE)+CODE(LEFT($AK50))/1000,"")</f>
        <v>6299.077</v>
      </c>
      <c r="AN50" s="3">
        <f>IF(ISNUMBER(HLOOKUP(AN$3,$V$3:$AG$94,ROWS($A$3:E50),FALSE)),HLOOKUP(AN$3,$V$3:$AG$94,ROWS($A$3:E50),FALSE)+CODE(LEFT($AK50))/1000,"")</f>
        <v>7199.077</v>
      </c>
      <c r="AO50" s="3">
        <f>IF(ISNUMBER(HLOOKUP(AO$3,$V$3:$AG$94,ROWS($A$3:F50),FALSE)),HLOOKUP(AO$3,$V$3:$AG$94,ROWS($A$3:F50),FALSE)+CODE(LEFT($AK50))/1000,"")</f>
        <v>8199.077</v>
      </c>
      <c r="AP50" s="3" t="b">
        <f t="shared" si="18"/>
        <v>1</v>
      </c>
    </row>
    <row r="51" spans="1:42" ht="12.75">
      <c r="A51" t="b">
        <f t="shared" si="19"/>
        <v>0</v>
      </c>
      <c r="B51" t="s">
        <v>1266</v>
      </c>
      <c r="C51" t="s">
        <v>1275</v>
      </c>
      <c r="D51">
        <f t="shared" si="2"/>
        <v>3.1831</v>
      </c>
      <c r="E51">
        <v>40262</v>
      </c>
      <c r="F51">
        <v>43697</v>
      </c>
      <c r="G51">
        <v>50252</v>
      </c>
      <c r="H51">
        <v>57510</v>
      </c>
      <c r="I51">
        <v>26680</v>
      </c>
      <c r="J51">
        <v>30168</v>
      </c>
      <c r="K51">
        <v>34694</v>
      </c>
      <c r="L51">
        <v>38870</v>
      </c>
      <c r="M51">
        <v>10780</v>
      </c>
      <c r="N51">
        <v>12555</v>
      </c>
      <c r="O51">
        <v>14320</v>
      </c>
      <c r="P51">
        <v>16470</v>
      </c>
      <c r="Q51" s="45">
        <v>39563</v>
      </c>
      <c r="T51" s="4">
        <f t="shared" si="3"/>
        <v>3.1831</v>
      </c>
      <c r="V51" s="3">
        <f t="shared" si="16"/>
        <v>12648.675819169992</v>
      </c>
      <c r="W51" s="3">
        <f t="shared" si="4"/>
        <v>13727.812509817473</v>
      </c>
      <c r="X51" s="3">
        <f t="shared" si="5"/>
        <v>15787.125757908956</v>
      </c>
      <c r="Y51" s="3">
        <f t="shared" si="6"/>
        <v>18067.292890578366</v>
      </c>
      <c r="Z51" s="3">
        <f t="shared" si="7"/>
        <v>8381.766202758317</v>
      </c>
      <c r="AA51" s="3">
        <f t="shared" si="8"/>
        <v>9477.553328516226</v>
      </c>
      <c r="AB51" s="3">
        <f t="shared" si="9"/>
        <v>10899.437655116082</v>
      </c>
      <c r="AC51" s="3">
        <f t="shared" si="10"/>
        <v>12211.366278156514</v>
      </c>
      <c r="AD51" s="3">
        <f t="shared" si="11"/>
        <v>3386.6356696302346</v>
      </c>
      <c r="AE51" s="3">
        <f t="shared" si="12"/>
        <v>3944.2681662530235</v>
      </c>
      <c r="AF51" s="3">
        <f t="shared" si="13"/>
        <v>4498.759071345544</v>
      </c>
      <c r="AG51" s="3">
        <f t="shared" si="14"/>
        <v>5174.201250353429</v>
      </c>
      <c r="AH51" s="3"/>
      <c r="AI51">
        <f t="shared" si="20"/>
        <v>28</v>
      </c>
      <c r="AJ51" s="3">
        <f>IF(ISNUMBER(HLOOKUP(listkey,$V$3:$AG$94,ROWS($A$3:C51),FALSE)),HLOOKUP(listkey,$V$3:$AG$94,ROWS($A$3:C51),FALSE)+CODE(LEFT($AK51))/1000+CODE(MID($AK51,2,1))/10000+CODE(RIGHT($AK51))/5000,"")</f>
        <v>13727.918609817472</v>
      </c>
      <c r="AK51" t="str">
        <f t="shared" si="17"/>
        <v>Malaysia</v>
      </c>
      <c r="AL51" s="3">
        <f>IF(ISNUMBER(HLOOKUP(AL$3,$V$3:$AG$94,ROWS($A$3:C51),FALSE)),HLOOKUP(AL$3,$V$3:$AG$94,ROWS($A$3:C51),FALSE)+CODE(LEFT($AK51))/1000,"")</f>
        <v>12648.752819169991</v>
      </c>
      <c r="AM51" s="3">
        <f>IF(ISNUMBER(HLOOKUP(AM$3,$V$3:$AG$94,ROWS($A$3:D51),FALSE)),HLOOKUP(AM$3,$V$3:$AG$94,ROWS($A$3:D51),FALSE)+CODE(LEFT($AK51))/1000,"")</f>
        <v>13727.889509817473</v>
      </c>
      <c r="AN51" s="3">
        <f>IF(ISNUMBER(HLOOKUP(AN$3,$V$3:$AG$94,ROWS($A$3:E51),FALSE)),HLOOKUP(AN$3,$V$3:$AG$94,ROWS($A$3:E51),FALSE)+CODE(LEFT($AK51))/1000,"")</f>
        <v>15787.202757908955</v>
      </c>
      <c r="AO51" s="3">
        <f>IF(ISNUMBER(HLOOKUP(AO$3,$V$3:$AG$94,ROWS($A$3:F51),FALSE)),HLOOKUP(AO$3,$V$3:$AG$94,ROWS($A$3:F51),FALSE)+CODE(LEFT($AK51))/1000,"")</f>
        <v>18067.369890578368</v>
      </c>
      <c r="AP51" s="3" t="b">
        <f t="shared" si="18"/>
        <v>0</v>
      </c>
    </row>
    <row r="52" spans="1:42" ht="12.75">
      <c r="A52" t="b">
        <f t="shared" si="19"/>
        <v>1</v>
      </c>
      <c r="B52" t="s">
        <v>1298</v>
      </c>
      <c r="C52" t="s">
        <v>1321</v>
      </c>
      <c r="D52">
        <f t="shared" si="2"/>
        <v>0.6429</v>
      </c>
      <c r="E52">
        <v>8350.172656349916</v>
      </c>
      <c r="F52">
        <v>9266.530246834633</v>
      </c>
      <c r="G52">
        <v>10488.553523468474</v>
      </c>
      <c r="H52">
        <v>11710.576800102313</v>
      </c>
      <c r="I52">
        <v>5090.80445069702</v>
      </c>
      <c r="J52">
        <v>6007.801509144391</v>
      </c>
      <c r="K52">
        <v>6720.808287504796</v>
      </c>
      <c r="L52">
        <v>7738.8412840516685</v>
      </c>
      <c r="M52">
        <v>1984.9085560813403</v>
      </c>
      <c r="N52">
        <v>2392.2496482926203</v>
      </c>
      <c r="O52">
        <v>2901.2661465660567</v>
      </c>
      <c r="P52">
        <v>3359.764675789743</v>
      </c>
      <c r="Q52" s="45">
        <v>39563</v>
      </c>
      <c r="T52" s="4">
        <f t="shared" si="3"/>
        <v>0.6429</v>
      </c>
      <c r="V52" s="3">
        <f t="shared" si="16"/>
        <v>12988.291579327913</v>
      </c>
      <c r="W52" s="3">
        <f t="shared" si="4"/>
        <v>14413.641696740757</v>
      </c>
      <c r="X52" s="3">
        <f t="shared" si="5"/>
        <v>16314.440073834925</v>
      </c>
      <c r="Y52" s="3">
        <f t="shared" si="6"/>
        <v>18215.238450929093</v>
      </c>
      <c r="Z52" s="3">
        <f t="shared" si="7"/>
        <v>7918.501245445667</v>
      </c>
      <c r="AA52" s="3">
        <f t="shared" si="8"/>
        <v>9344.846024489641</v>
      </c>
      <c r="AB52" s="3">
        <f t="shared" si="9"/>
        <v>10453.893743202358</v>
      </c>
      <c r="AC52" s="3">
        <f t="shared" si="10"/>
        <v>12037.395059965263</v>
      </c>
      <c r="AD52" s="3">
        <f t="shared" si="11"/>
        <v>3087.429703035216</v>
      </c>
      <c r="AE52" s="3">
        <f t="shared" si="12"/>
        <v>3721.029162066605</v>
      </c>
      <c r="AF52" s="3">
        <f t="shared" si="13"/>
        <v>4512.779820448058</v>
      </c>
      <c r="AG52" s="3">
        <f t="shared" si="14"/>
        <v>5225.952209970046</v>
      </c>
      <c r="AH52" s="3"/>
      <c r="AI52">
        <f t="shared" si="20"/>
        <v>11</v>
      </c>
      <c r="AJ52" s="3">
        <f>IF(ISNUMBER(HLOOKUP(listkey,$V$3:$AG$94,ROWS($A$3:C52),FALSE)),HLOOKUP(listkey,$V$3:$AG$94,ROWS($A$3:C52),FALSE)+CODE(LEFT($AK52))/1000+CODE(MID($AK52,2,1))/10000+CODE(RIGHT($AK52))/5000,"")</f>
        <v>14413.747796740756</v>
      </c>
      <c r="AK52" t="str">
        <f t="shared" si="17"/>
        <v>Malta</v>
      </c>
      <c r="AL52" s="3">
        <f>IF(ISNUMBER(HLOOKUP(AL$3,$V$3:$AG$94,ROWS($A$3:C52),FALSE)),HLOOKUP(AL$3,$V$3:$AG$94,ROWS($A$3:C52),FALSE)+CODE(LEFT($AK52))/1000,"")</f>
        <v>12988.368579327913</v>
      </c>
      <c r="AM52" s="3">
        <f>IF(ISNUMBER(HLOOKUP(AM$3,$V$3:$AG$94,ROWS($A$3:D52),FALSE)),HLOOKUP(AM$3,$V$3:$AG$94,ROWS($A$3:D52),FALSE)+CODE(LEFT($AK52))/1000,"")</f>
        <v>14413.718696740756</v>
      </c>
      <c r="AN52" s="3">
        <f>IF(ISNUMBER(HLOOKUP(AN$3,$V$3:$AG$94,ROWS($A$3:E52),FALSE)),HLOOKUP(AN$3,$V$3:$AG$94,ROWS($A$3:E52),FALSE)+CODE(LEFT($AK52))/1000,"")</f>
        <v>16314.517073834924</v>
      </c>
      <c r="AO52" s="3">
        <f>IF(ISNUMBER(HLOOKUP(AO$3,$V$3:$AG$94,ROWS($A$3:F52),FALSE)),HLOOKUP(AO$3,$V$3:$AG$94,ROWS($A$3:F52),FALSE)+CODE(LEFT($AK52))/1000,"")</f>
        <v>18215.315450929094</v>
      </c>
      <c r="AP52" s="3" t="b">
        <f t="shared" si="18"/>
        <v>1</v>
      </c>
    </row>
    <row r="53" spans="1:42" ht="12.75">
      <c r="A53" t="b">
        <f t="shared" si="19"/>
        <v>1</v>
      </c>
      <c r="B53" t="s">
        <v>1577</v>
      </c>
      <c r="C53" t="s">
        <v>1254</v>
      </c>
      <c r="D53">
        <f t="shared" si="2"/>
        <v>26.467</v>
      </c>
      <c r="E53" t="e">
        <v>#N/A</v>
      </c>
      <c r="F53">
        <v>183324.89878542512</v>
      </c>
      <c r="G53">
        <v>209640.6882591093</v>
      </c>
      <c r="H53">
        <v>238891.7004048583</v>
      </c>
      <c r="I53" t="e">
        <v>#N/A</v>
      </c>
      <c r="J53">
        <v>156983.8056680162</v>
      </c>
      <c r="K53">
        <v>177454.45344129554</v>
      </c>
      <c r="L53">
        <v>206730.76923076922</v>
      </c>
      <c r="N53">
        <v>78011.13360323886</v>
      </c>
      <c r="O53">
        <v>89701.41700404858</v>
      </c>
      <c r="P53">
        <v>107262.14574898785</v>
      </c>
      <c r="Q53" s="45">
        <v>39563</v>
      </c>
      <c r="T53" s="4">
        <f t="shared" si="3"/>
        <v>26.467</v>
      </c>
      <c r="V53" s="3" t="e">
        <f t="shared" si="16"/>
        <v>#N/A</v>
      </c>
      <c r="W53" s="3">
        <f t="shared" si="4"/>
        <v>6926.546219270228</v>
      </c>
      <c r="X53" s="3">
        <f t="shared" si="5"/>
        <v>7920.833047157189</v>
      </c>
      <c r="Y53" s="3">
        <f t="shared" si="6"/>
        <v>9026.021098154619</v>
      </c>
      <c r="Z53" s="3" t="e">
        <f t="shared" si="7"/>
        <v>#N/A</v>
      </c>
      <c r="AA53" s="3">
        <f t="shared" si="8"/>
        <v>5931.303346356452</v>
      </c>
      <c r="AB53" s="3">
        <f t="shared" si="9"/>
        <v>6704.743773049289</v>
      </c>
      <c r="AC53" s="3">
        <f t="shared" si="10"/>
        <v>7810.887869073535</v>
      </c>
      <c r="AD53" s="3">
        <f t="shared" si="11"/>
      </c>
      <c r="AE53" s="3">
        <f t="shared" si="12"/>
        <v>2947.4868176687523</v>
      </c>
      <c r="AF53" s="3">
        <f t="shared" si="13"/>
        <v>3389.1796200569984</v>
      </c>
      <c r="AG53" s="3">
        <f t="shared" si="14"/>
        <v>4052.6748686661826</v>
      </c>
      <c r="AH53" s="3"/>
      <c r="AI53">
        <f t="shared" si="20"/>
        <v>86</v>
      </c>
      <c r="AJ53" s="3">
        <f>IF(ISNUMBER(HLOOKUP(listkey,$V$3:$AG$94,ROWS($A$3:C53),FALSE)),HLOOKUP(listkey,$V$3:$AG$94,ROWS($A$3:C53),FALSE)+CODE(LEFT($AK53))/1000+CODE(MID($AK53,2,1))/10000+CODE(RIGHT($AK53))/5000,"")</f>
        <v>6926.655919270228</v>
      </c>
      <c r="AK53" t="str">
        <f t="shared" si="17"/>
        <v>Mauritius</v>
      </c>
      <c r="AL53" s="3">
        <f>IF(ISNUMBER(HLOOKUP(AL$3,$V$3:$AG$94,ROWS($A$3:C53),FALSE)),HLOOKUP(AL$3,$V$3:$AG$94,ROWS($A$3:C53),FALSE)+CODE(LEFT($AK53))/1000,"")</f>
      </c>
      <c r="AM53" s="3">
        <f>IF(ISNUMBER(HLOOKUP(AM$3,$V$3:$AG$94,ROWS($A$3:D53),FALSE)),HLOOKUP(AM$3,$V$3:$AG$94,ROWS($A$3:D53),FALSE)+CODE(LEFT($AK53))/1000,"")</f>
        <v>6926.623219270228</v>
      </c>
      <c r="AN53" s="3">
        <f>IF(ISNUMBER(HLOOKUP(AN$3,$V$3:$AG$94,ROWS($A$3:E53),FALSE)),HLOOKUP(AN$3,$V$3:$AG$94,ROWS($A$3:E53),FALSE)+CODE(LEFT($AK53))/1000,"")</f>
        <v>7920.910047157189</v>
      </c>
      <c r="AO53" s="3">
        <f>IF(ISNUMBER(HLOOKUP(AO$3,$V$3:$AG$94,ROWS($A$3:F53),FALSE)),HLOOKUP(AO$3,$V$3:$AG$94,ROWS($A$3:F53),FALSE)+CODE(LEFT($AK53))/1000,"")</f>
        <v>9026.098098154618</v>
      </c>
      <c r="AP53" s="3" t="b">
        <f t="shared" si="18"/>
        <v>1</v>
      </c>
    </row>
    <row r="54" spans="1:42" ht="12.75">
      <c r="A54" t="b">
        <f t="shared" si="19"/>
        <v>1</v>
      </c>
      <c r="B54" t="s">
        <v>1301</v>
      </c>
      <c r="C54" t="s">
        <v>1322</v>
      </c>
      <c r="D54">
        <f t="shared" si="2"/>
        <v>7.4144</v>
      </c>
      <c r="E54">
        <v>117600</v>
      </c>
      <c r="F54">
        <v>128700</v>
      </c>
      <c r="G54">
        <v>147980</v>
      </c>
      <c r="H54">
        <v>165750</v>
      </c>
      <c r="I54">
        <v>76400</v>
      </c>
      <c r="J54">
        <v>87500</v>
      </c>
      <c r="K54">
        <v>101230</v>
      </c>
      <c r="L54">
        <v>113200</v>
      </c>
      <c r="M54">
        <v>36000</v>
      </c>
      <c r="N54">
        <v>42200</v>
      </c>
      <c r="O54">
        <v>47750</v>
      </c>
      <c r="P54">
        <v>56300</v>
      </c>
      <c r="Q54" s="45">
        <v>39123</v>
      </c>
      <c r="T54" s="4">
        <f t="shared" si="3"/>
        <v>7.4144</v>
      </c>
      <c r="V54" s="3">
        <f t="shared" si="16"/>
        <v>15861.027190332326</v>
      </c>
      <c r="W54" s="3">
        <f t="shared" si="4"/>
        <v>17358.113940440224</v>
      </c>
      <c r="X54" s="3">
        <f t="shared" si="5"/>
        <v>19958.459214501512</v>
      </c>
      <c r="Y54" s="3">
        <f t="shared" si="6"/>
        <v>22355.14674147605</v>
      </c>
      <c r="Z54" s="3">
        <f t="shared" si="7"/>
        <v>10304.272766508417</v>
      </c>
      <c r="AA54" s="3">
        <f t="shared" si="8"/>
        <v>11801.359516616314</v>
      </c>
      <c r="AB54" s="3">
        <f t="shared" si="9"/>
        <v>13653.161415623652</v>
      </c>
      <c r="AC54" s="3">
        <f t="shared" si="10"/>
        <v>15267.587397496764</v>
      </c>
      <c r="AD54" s="3">
        <f t="shared" si="11"/>
        <v>4855.416486836427</v>
      </c>
      <c r="AE54" s="3">
        <f t="shared" si="12"/>
        <v>5691.627104013811</v>
      </c>
      <c r="AF54" s="3">
        <f t="shared" si="13"/>
        <v>6440.17047906776</v>
      </c>
      <c r="AG54" s="3">
        <f t="shared" si="14"/>
        <v>7593.331894691411</v>
      </c>
      <c r="AH54" s="3"/>
      <c r="AI54">
        <f t="shared" si="20"/>
        <v>2</v>
      </c>
      <c r="AJ54" s="3">
        <f>IF(ISNUMBER(HLOOKUP(listkey,$V$3:$AG$94,ROWS($A$3:C54),FALSE)),HLOOKUP(listkey,$V$3:$AG$94,ROWS($A$3:C54),FALSE)+CODE(LEFT($AK54))/1000+CODE(MID($AK54,2,1))/10000+CODE(RIGHT($AK54))/5000,"")</f>
        <v>17358.224240440224</v>
      </c>
      <c r="AK54" t="str">
        <f t="shared" si="17"/>
        <v>Morocco</v>
      </c>
      <c r="AL54" s="3">
        <f>IF(ISNUMBER(HLOOKUP(AL$3,$V$3:$AG$94,ROWS($A$3:C54),FALSE)),HLOOKUP(AL$3,$V$3:$AG$94,ROWS($A$3:C54),FALSE)+CODE(LEFT($AK54))/1000,"")</f>
        <v>15861.104190332326</v>
      </c>
      <c r="AM54" s="3">
        <f>IF(ISNUMBER(HLOOKUP(AM$3,$V$3:$AG$94,ROWS($A$3:D54),FALSE)),HLOOKUP(AM$3,$V$3:$AG$94,ROWS($A$3:D54),FALSE)+CODE(LEFT($AK54))/1000,"")</f>
        <v>17358.190940440225</v>
      </c>
      <c r="AN54" s="3">
        <f>IF(ISNUMBER(HLOOKUP(AN$3,$V$3:$AG$94,ROWS($A$3:E54),FALSE)),HLOOKUP(AN$3,$V$3:$AG$94,ROWS($A$3:E54),FALSE)+CODE(LEFT($AK54))/1000,"")</f>
        <v>19958.536214501513</v>
      </c>
      <c r="AO54" s="3">
        <f>IF(ISNUMBER(HLOOKUP(AO$3,$V$3:$AG$94,ROWS($A$3:F54),FALSE)),HLOOKUP(AO$3,$V$3:$AG$94,ROWS($A$3:F54),FALSE)+CODE(LEFT($AK54))/1000,"")</f>
        <v>22355.22374147605</v>
      </c>
      <c r="AP54" s="3" t="b">
        <f t="shared" si="18"/>
        <v>1</v>
      </c>
    </row>
    <row r="55" spans="1:42" ht="12.75">
      <c r="A55" t="b">
        <f t="shared" si="19"/>
        <v>1</v>
      </c>
      <c r="B55" t="s">
        <v>1578</v>
      </c>
      <c r="C55" t="s">
        <v>1255</v>
      </c>
      <c r="D55">
        <f t="shared" si="2"/>
        <v>7.6762</v>
      </c>
      <c r="F55">
        <v>57427.29306487696</v>
      </c>
      <c r="G55">
        <v>62945.56301267711</v>
      </c>
      <c r="H55">
        <v>67539.14988814318</v>
      </c>
      <c r="J55">
        <v>39970.17151379568</v>
      </c>
      <c r="K55">
        <v>43184.19090231171</v>
      </c>
      <c r="L55">
        <v>47874.720357941835</v>
      </c>
      <c r="N55">
        <v>19299.03057419836</v>
      </c>
      <c r="O55">
        <v>23982.102908277404</v>
      </c>
      <c r="P55">
        <v>29403.4302759135</v>
      </c>
      <c r="Q55" s="45">
        <v>39563</v>
      </c>
      <c r="T55" s="4">
        <f t="shared" si="3"/>
        <v>7.6762</v>
      </c>
      <c r="V55" s="3">
        <f t="shared" si="16"/>
      </c>
      <c r="W55" s="3">
        <f t="shared" si="4"/>
        <v>7481.213760047545</v>
      </c>
      <c r="X55" s="3">
        <f t="shared" si="5"/>
        <v>8200.094188879539</v>
      </c>
      <c r="Y55" s="3">
        <f t="shared" si="6"/>
        <v>8798.513572880225</v>
      </c>
      <c r="Z55" s="3">
        <f t="shared" si="7"/>
      </c>
      <c r="AA55" s="3">
        <f t="shared" si="8"/>
        <v>5207.025808837143</v>
      </c>
      <c r="AB55" s="3">
        <f t="shared" si="9"/>
        <v>5625.7250856298315</v>
      </c>
      <c r="AC55" s="3">
        <f t="shared" si="10"/>
        <v>6236.773450137026</v>
      </c>
      <c r="AD55" s="3">
        <f t="shared" si="11"/>
      </c>
      <c r="AE55" s="3">
        <f t="shared" si="12"/>
        <v>2514.1385808340538</v>
      </c>
      <c r="AF55" s="3">
        <f t="shared" si="13"/>
        <v>3124.2154853022857</v>
      </c>
      <c r="AG55" s="3">
        <f t="shared" si="14"/>
        <v>3830.4669336277716</v>
      </c>
      <c r="AH55" s="3"/>
      <c r="AI55">
        <f t="shared" si="20"/>
        <v>85</v>
      </c>
      <c r="AJ55" s="3">
        <f>IF(ISNUMBER(HLOOKUP(listkey,$V$3:$AG$94,ROWS($A$3:C55),FALSE)),HLOOKUP(listkey,$V$3:$AG$94,ROWS($A$3:C55),FALSE)+CODE(LEFT($AK55))/1000+CODE(MID($AK55,2,1))/10000+CODE(RIGHT($AK55))/5000,"")</f>
        <v>7481.3208600475455</v>
      </c>
      <c r="AK55" t="str">
        <f t="shared" si="17"/>
        <v>Namibia</v>
      </c>
      <c r="AL55" s="3">
        <f>IF(ISNUMBER(HLOOKUP(AL$3,$V$3:$AG$94,ROWS($A$3:C55),FALSE)),HLOOKUP(AL$3,$V$3:$AG$94,ROWS($A$3:C55),FALSE)+CODE(LEFT($AK55))/1000,"")</f>
      </c>
      <c r="AM55" s="3">
        <f>IF(ISNUMBER(HLOOKUP(AM$3,$V$3:$AG$94,ROWS($A$3:D55),FALSE)),HLOOKUP(AM$3,$V$3:$AG$94,ROWS($A$3:D55),FALSE)+CODE(LEFT($AK55))/1000,"")</f>
        <v>7481.291760047546</v>
      </c>
      <c r="AN55" s="3">
        <f>IF(ISNUMBER(HLOOKUP(AN$3,$V$3:$AG$94,ROWS($A$3:E55),FALSE)),HLOOKUP(AN$3,$V$3:$AG$94,ROWS($A$3:E55),FALSE)+CODE(LEFT($AK55))/1000,"")</f>
        <v>8200.172188879538</v>
      </c>
      <c r="AO55" s="3">
        <f>IF(ISNUMBER(HLOOKUP(AO$3,$V$3:$AG$94,ROWS($A$3:F55),FALSE)),HLOOKUP(AO$3,$V$3:$AG$94,ROWS($A$3:F55),FALSE)+CODE(LEFT($AK55))/1000,"")</f>
        <v>8798.591572880225</v>
      </c>
      <c r="AP55" s="3" t="b">
        <f t="shared" si="18"/>
        <v>1</v>
      </c>
    </row>
    <row r="56" spans="1:42" ht="12.75">
      <c r="A56" t="b">
        <f t="shared" si="19"/>
        <v>0</v>
      </c>
      <c r="B56" t="s">
        <v>1304</v>
      </c>
      <c r="C56" t="s">
        <v>1308</v>
      </c>
      <c r="D56">
        <f t="shared" si="2"/>
        <v>0.6429</v>
      </c>
      <c r="E56">
        <v>8199</v>
      </c>
      <c r="F56">
        <v>9099</v>
      </c>
      <c r="G56">
        <v>10299</v>
      </c>
      <c r="H56">
        <v>11499</v>
      </c>
      <c r="I56">
        <v>4999</v>
      </c>
      <c r="J56">
        <v>5899</v>
      </c>
      <c r="K56">
        <v>6599</v>
      </c>
      <c r="L56">
        <v>7599</v>
      </c>
      <c r="M56">
        <v>1949</v>
      </c>
      <c r="N56">
        <v>2349</v>
      </c>
      <c r="O56">
        <v>2849</v>
      </c>
      <c r="P56">
        <v>3299</v>
      </c>
      <c r="Q56" s="45">
        <v>39563</v>
      </c>
      <c r="T56" s="4">
        <f t="shared" si="3"/>
        <v>0.6429</v>
      </c>
      <c r="V56" s="3">
        <f t="shared" si="16"/>
        <v>12753.149790013998</v>
      </c>
      <c r="W56" s="3">
        <f t="shared" si="4"/>
        <v>14153.056462902472</v>
      </c>
      <c r="X56" s="3">
        <f t="shared" si="5"/>
        <v>16019.598693420437</v>
      </c>
      <c r="Y56" s="3">
        <f t="shared" si="6"/>
        <v>17886.140923938405</v>
      </c>
      <c r="Z56" s="3">
        <f t="shared" si="7"/>
        <v>7775.703841966091</v>
      </c>
      <c r="AA56" s="3">
        <f t="shared" si="8"/>
        <v>9175.610514854565</v>
      </c>
      <c r="AB56" s="3">
        <f t="shared" si="9"/>
        <v>10264.426815990044</v>
      </c>
      <c r="AC56" s="3">
        <f t="shared" si="10"/>
        <v>11819.878674755017</v>
      </c>
      <c r="AD56" s="3">
        <f t="shared" si="11"/>
        <v>3031.575672732929</v>
      </c>
      <c r="AE56" s="3">
        <f t="shared" si="12"/>
        <v>3653.756416238917</v>
      </c>
      <c r="AF56" s="3">
        <f t="shared" si="13"/>
        <v>4431.482345621403</v>
      </c>
      <c r="AG56" s="3">
        <f t="shared" si="14"/>
        <v>5131.435682065639</v>
      </c>
      <c r="AH56" s="3"/>
      <c r="AI56">
        <f t="shared" si="20"/>
        <v>15</v>
      </c>
      <c r="AJ56" s="3">
        <f>IF(ISNUMBER(HLOOKUP(listkey,$V$3:$AG$94,ROWS($A$3:C56),FALSE)),HLOOKUP(listkey,$V$3:$AG$94,ROWS($A$3:C56),FALSE)+CODE(LEFT($AK56))/1000+CODE(MID($AK56,2,1))/10000+CODE(RIGHT($AK56))/5000,"")</f>
        <v>14153.16756290247</v>
      </c>
      <c r="AK56" t="str">
        <f t="shared" si="17"/>
        <v>Netherlands</v>
      </c>
      <c r="AL56" s="3">
        <f>IF(ISNUMBER(HLOOKUP(AL$3,$V$3:$AG$94,ROWS($A$3:C56),FALSE)),HLOOKUP(AL$3,$V$3:$AG$94,ROWS($A$3:C56),FALSE)+CODE(LEFT($AK56))/1000,"")</f>
        <v>12753.227790013998</v>
      </c>
      <c r="AM56" s="3">
        <f>IF(ISNUMBER(HLOOKUP(AM$3,$V$3:$AG$94,ROWS($A$3:D56),FALSE)),HLOOKUP(AM$3,$V$3:$AG$94,ROWS($A$3:D56),FALSE)+CODE(LEFT($AK56))/1000,"")</f>
        <v>14153.134462902472</v>
      </c>
      <c r="AN56" s="3">
        <f>IF(ISNUMBER(HLOOKUP(AN$3,$V$3:$AG$94,ROWS($A$3:E56),FALSE)),HLOOKUP(AN$3,$V$3:$AG$94,ROWS($A$3:E56),FALSE)+CODE(LEFT($AK56))/1000,"")</f>
        <v>16019.676693420437</v>
      </c>
      <c r="AO56" s="3">
        <f>IF(ISNUMBER(HLOOKUP(AO$3,$V$3:$AG$94,ROWS($A$3:F56),FALSE)),HLOOKUP(AO$3,$V$3:$AG$94,ROWS($A$3:F56),FALSE)+CODE(LEFT($AK56))/1000,"")</f>
        <v>17886.218923938406</v>
      </c>
      <c r="AP56" s="3" t="b">
        <f t="shared" si="18"/>
        <v>0</v>
      </c>
    </row>
    <row r="57" spans="1:42" ht="12.75">
      <c r="A57" t="b">
        <f t="shared" si="19"/>
        <v>1</v>
      </c>
      <c r="B57" t="s">
        <v>1464</v>
      </c>
      <c r="C57" t="s">
        <v>1354</v>
      </c>
      <c r="D57">
        <f t="shared" si="2"/>
        <v>1.2828</v>
      </c>
      <c r="F57">
        <v>14399</v>
      </c>
      <c r="G57">
        <v>16399</v>
      </c>
      <c r="H57">
        <v>18499</v>
      </c>
      <c r="J57">
        <v>10599</v>
      </c>
      <c r="K57">
        <v>12099</v>
      </c>
      <c r="L57">
        <v>13869</v>
      </c>
      <c r="N57">
        <v>3629</v>
      </c>
      <c r="O57">
        <v>3959</v>
      </c>
      <c r="P57">
        <v>4549</v>
      </c>
      <c r="Q57" s="45">
        <v>39563</v>
      </c>
      <c r="T57" s="4">
        <f t="shared" si="3"/>
        <v>1.2828</v>
      </c>
      <c r="V57" s="3">
        <f t="shared" si="16"/>
      </c>
      <c r="W57" s="3">
        <f t="shared" si="4"/>
        <v>11224.664795759278</v>
      </c>
      <c r="X57" s="3">
        <f t="shared" si="5"/>
        <v>12783.754287496104</v>
      </c>
      <c r="Y57" s="3">
        <f t="shared" si="6"/>
        <v>14420.79825381977</v>
      </c>
      <c r="Z57" s="3">
        <f t="shared" si="7"/>
      </c>
      <c r="AA57" s="3">
        <f t="shared" si="8"/>
        <v>8262.394761459309</v>
      </c>
      <c r="AB57" s="3">
        <f t="shared" si="9"/>
        <v>9431.711880261928</v>
      </c>
      <c r="AC57" s="3">
        <f t="shared" si="10"/>
        <v>10811.506080449019</v>
      </c>
      <c r="AD57" s="3">
        <f t="shared" si="11"/>
      </c>
      <c r="AE57" s="3">
        <f t="shared" si="12"/>
        <v>2828.9678827564703</v>
      </c>
      <c r="AF57" s="3">
        <f t="shared" si="13"/>
        <v>3086.2176488930468</v>
      </c>
      <c r="AG57" s="3">
        <f t="shared" si="14"/>
        <v>3546.1490489554103</v>
      </c>
      <c r="AH57" s="3"/>
      <c r="AI57">
        <f t="shared" si="20"/>
        <v>55</v>
      </c>
      <c r="AJ57" s="3">
        <f>IF(ISNUMBER(HLOOKUP(listkey,$V$3:$AG$94,ROWS($A$3:C57),FALSE)),HLOOKUP(listkey,$V$3:$AG$94,ROWS($A$3:C57),FALSE)+CODE(LEFT($AK57))/1000+CODE(MID($AK57,2,1))/10000+CODE(RIGHT($AK57))/5000,"")</f>
        <v>11224.772695759277</v>
      </c>
      <c r="AK57" t="str">
        <f t="shared" si="17"/>
        <v>New Zealand Basic</v>
      </c>
      <c r="AL57" s="3">
        <f>IF(ISNUMBER(HLOOKUP(AL$3,$V$3:$AG$94,ROWS($A$3:C57),FALSE)),HLOOKUP(AL$3,$V$3:$AG$94,ROWS($A$3:C57),FALSE)+CODE(LEFT($AK57))/1000,"")</f>
      </c>
      <c r="AM57" s="3">
        <f>IF(ISNUMBER(HLOOKUP(AM$3,$V$3:$AG$94,ROWS($A$3:D57),FALSE)),HLOOKUP(AM$3,$V$3:$AG$94,ROWS($A$3:D57),FALSE)+CODE(LEFT($AK57))/1000,"")</f>
        <v>11224.742795759277</v>
      </c>
      <c r="AN57" s="3">
        <f>IF(ISNUMBER(HLOOKUP(AN$3,$V$3:$AG$94,ROWS($A$3:E57),FALSE)),HLOOKUP(AN$3,$V$3:$AG$94,ROWS($A$3:E57),FALSE)+CODE(LEFT($AK57))/1000,"")</f>
        <v>12783.832287496103</v>
      </c>
      <c r="AO57" s="3">
        <f>IF(ISNUMBER(HLOOKUP(AO$3,$V$3:$AG$94,ROWS($A$3:F57),FALSE)),HLOOKUP(AO$3,$V$3:$AG$94,ROWS($A$3:F57),FALSE)+CODE(LEFT($AK57))/1000,"")</f>
        <v>14420.87625381977</v>
      </c>
      <c r="AP57" s="3" t="b">
        <f t="shared" si="18"/>
        <v>1</v>
      </c>
    </row>
    <row r="58" spans="1:42" ht="12.75">
      <c r="A58" t="b">
        <f t="shared" si="19"/>
        <v>1</v>
      </c>
      <c r="B58" t="s">
        <v>1465</v>
      </c>
      <c r="C58" t="s">
        <v>1354</v>
      </c>
      <c r="D58">
        <f t="shared" si="2"/>
        <v>1.2828</v>
      </c>
      <c r="F58">
        <v>14399</v>
      </c>
      <c r="G58">
        <v>16399</v>
      </c>
      <c r="H58">
        <v>18499</v>
      </c>
      <c r="J58">
        <v>10599</v>
      </c>
      <c r="K58">
        <v>12099</v>
      </c>
      <c r="L58">
        <v>13869</v>
      </c>
      <c r="N58">
        <v>3629</v>
      </c>
      <c r="O58">
        <v>3959</v>
      </c>
      <c r="P58">
        <v>4549</v>
      </c>
      <c r="Q58" s="45">
        <v>39563</v>
      </c>
      <c r="T58" s="4">
        <f t="shared" si="3"/>
        <v>1.2828</v>
      </c>
      <c r="V58" s="3">
        <f t="shared" si="16"/>
      </c>
      <c r="W58" s="3">
        <f t="shared" si="4"/>
        <v>11224.664795759278</v>
      </c>
      <c r="X58" s="3">
        <f t="shared" si="5"/>
        <v>12783.754287496104</v>
      </c>
      <c r="Y58" s="3">
        <f t="shared" si="6"/>
        <v>14420.79825381977</v>
      </c>
      <c r="Z58" s="3">
        <f t="shared" si="7"/>
      </c>
      <c r="AA58" s="3">
        <f t="shared" si="8"/>
        <v>8262.394761459309</v>
      </c>
      <c r="AB58" s="3">
        <f t="shared" si="9"/>
        <v>9431.711880261928</v>
      </c>
      <c r="AC58" s="3">
        <f t="shared" si="10"/>
        <v>10811.506080449019</v>
      </c>
      <c r="AD58" s="3">
        <f t="shared" si="11"/>
      </c>
      <c r="AE58" s="3">
        <f t="shared" si="12"/>
        <v>2828.9678827564703</v>
      </c>
      <c r="AF58" s="3">
        <f t="shared" si="13"/>
        <v>3086.2176488930468</v>
      </c>
      <c r="AG58" s="3">
        <f t="shared" si="14"/>
        <v>3546.1490489554103</v>
      </c>
      <c r="AH58" s="3"/>
      <c r="AI58">
        <f t="shared" si="20"/>
        <v>54</v>
      </c>
      <c r="AJ58" s="3">
        <f>IF(ISNUMBER(HLOOKUP(listkey,$V$3:$AG$94,ROWS($A$3:C58),FALSE)),HLOOKUP(listkey,$V$3:$AG$94,ROWS($A$3:C58),FALSE)+CODE(LEFT($AK58))/1000+CODE(MID($AK58,2,1))/10000+CODE(RIGHT($AK58))/5000,"")</f>
        <v>11224.774295759276</v>
      </c>
      <c r="AK58" t="str">
        <f t="shared" si="17"/>
        <v>New Zealand Peak</v>
      </c>
      <c r="AL58" s="3">
        <f>IF(ISNUMBER(HLOOKUP(AL$3,$V$3:$AG$94,ROWS($A$3:C58),FALSE)),HLOOKUP(AL$3,$V$3:$AG$94,ROWS($A$3:C58),FALSE)+CODE(LEFT($AK58))/1000,"")</f>
      </c>
      <c r="AM58" s="3">
        <f>IF(ISNUMBER(HLOOKUP(AM$3,$V$3:$AG$94,ROWS($A$3:D58),FALSE)),HLOOKUP(AM$3,$V$3:$AG$94,ROWS($A$3:D58),FALSE)+CODE(LEFT($AK58))/1000,"")</f>
        <v>11224.742795759277</v>
      </c>
      <c r="AN58" s="3">
        <f>IF(ISNUMBER(HLOOKUP(AN$3,$V$3:$AG$94,ROWS($A$3:E58),FALSE)),HLOOKUP(AN$3,$V$3:$AG$94,ROWS($A$3:E58),FALSE)+CODE(LEFT($AK58))/1000,"")</f>
        <v>12783.832287496103</v>
      </c>
      <c r="AO58" s="3">
        <f>IF(ISNUMBER(HLOOKUP(AO$3,$V$3:$AG$94,ROWS($A$3:F58),FALSE)),HLOOKUP(AO$3,$V$3:$AG$94,ROWS($A$3:F58),FALSE)+CODE(LEFT($AK58))/1000,"")</f>
        <v>14420.87625381977</v>
      </c>
      <c r="AP58" s="3" t="b">
        <f t="shared" si="18"/>
        <v>1</v>
      </c>
    </row>
    <row r="59" spans="1:42" ht="12.75">
      <c r="A59" t="b">
        <f t="shared" si="19"/>
        <v>1</v>
      </c>
      <c r="B59" t="s">
        <v>1580</v>
      </c>
      <c r="C59" t="s">
        <v>1251</v>
      </c>
      <c r="D59">
        <f aca="true" t="shared" si="21" ref="D59:D91">VLOOKUP(C59,fx,3,FALSE)</f>
        <v>1</v>
      </c>
      <c r="E59" t="s">
        <v>987</v>
      </c>
      <c r="F59">
        <v>9400</v>
      </c>
      <c r="G59">
        <v>10100</v>
      </c>
      <c r="H59">
        <v>11300</v>
      </c>
      <c r="I59" t="s">
        <v>987</v>
      </c>
      <c r="J59">
        <v>7000</v>
      </c>
      <c r="K59">
        <v>7600</v>
      </c>
      <c r="L59">
        <v>8200</v>
      </c>
      <c r="M59" t="s">
        <v>987</v>
      </c>
      <c r="N59">
        <v>3200</v>
      </c>
      <c r="O59">
        <v>3600</v>
      </c>
      <c r="P59">
        <v>4200</v>
      </c>
      <c r="Q59" s="45">
        <v>39123</v>
      </c>
      <c r="T59" s="4">
        <f aca="true" t="shared" si="22" ref="T59:T93">D59/fxconv</f>
        <v>1</v>
      </c>
      <c r="V59" s="3">
        <f t="shared" si="16"/>
      </c>
      <c r="W59" s="3">
        <f aca="true" t="shared" si="23" ref="W59:W93">IF(AND(F59&gt;0,ISNUMBER(F59)),F59/$T59,"")</f>
        <v>9400</v>
      </c>
      <c r="X59" s="3">
        <f aca="true" t="shared" si="24" ref="X59:X93">IF(AND(G59&gt;0,ISNUMBER(G59)),G59/$T59,"")</f>
        <v>10100</v>
      </c>
      <c r="Y59" s="3">
        <f aca="true" t="shared" si="25" ref="Y59:Y93">IF(AND(H59&gt;0,ISNUMBER(H59)),H59/$T59,"")</f>
        <v>11300</v>
      </c>
      <c r="Z59" s="3">
        <f aca="true" t="shared" si="26" ref="Z59:Z93">IF(AND(I59&gt;0,ISNUMBER(I59)),I59/$T59,"")</f>
      </c>
      <c r="AA59" s="3">
        <f aca="true" t="shared" si="27" ref="AA59:AA93">IF(AND(J59&gt;0,ISNUMBER(J59)),J59/$T59,"")</f>
        <v>7000</v>
      </c>
      <c r="AB59" s="3">
        <f aca="true" t="shared" si="28" ref="AB59:AB93">IF(AND(K59&gt;0,ISNUMBER(K59)),K59/$T59,"")</f>
        <v>7600</v>
      </c>
      <c r="AC59" s="3">
        <f aca="true" t="shared" si="29" ref="AC59:AC93">IF(AND(L59&gt;0,ISNUMBER(L59)),L59/$T59,"")</f>
        <v>8200</v>
      </c>
      <c r="AD59" s="3">
        <f aca="true" t="shared" si="30" ref="AD59:AD93">IF(AND(M59&gt;0,ISNUMBER(M59)),M59/$T59,"")</f>
      </c>
      <c r="AE59" s="3">
        <f aca="true" t="shared" si="31" ref="AE59:AE93">IF(AND(N59&gt;0,ISNUMBER(N59)),N59/$T59,"")</f>
        <v>3200</v>
      </c>
      <c r="AF59" s="3">
        <f aca="true" t="shared" si="32" ref="AF59:AF93">IF(AND(O59&gt;0,ISNUMBER(O59)),O59/$T59,"")</f>
        <v>3600</v>
      </c>
      <c r="AG59" s="3">
        <f aca="true" t="shared" si="33" ref="AG59:AG93">IF(AND(P59&gt;0,ISNUMBER(P59)),P59/$T59,"")</f>
        <v>4200</v>
      </c>
      <c r="AH59" s="3"/>
      <c r="AI59">
        <f t="shared" si="20"/>
        <v>72</v>
      </c>
      <c r="AJ59" s="3">
        <f>IF(ISNUMBER(HLOOKUP(listkey,$V$3:$AG$94,ROWS($A$3:C59),FALSE)),HLOOKUP(listkey,$V$3:$AG$94,ROWS($A$3:C59),FALSE)+CODE(LEFT($AK59))/1000+CODE(MID($AK59,2,1))/10000+CODE(RIGHT($AK59))/5000,"")</f>
        <v>9400.107899999999</v>
      </c>
      <c r="AK59" t="str">
        <f t="shared" si="17"/>
        <v>Nigeria</v>
      </c>
      <c r="AL59" s="3">
        <f>IF(ISNUMBER(HLOOKUP(AL$3,$V$3:$AG$94,ROWS($A$3:C59),FALSE)),HLOOKUP(AL$3,$V$3:$AG$94,ROWS($A$3:C59),FALSE)+CODE(LEFT($AK59))/1000,"")</f>
      </c>
      <c r="AM59" s="3">
        <f>IF(ISNUMBER(HLOOKUP(AM$3,$V$3:$AG$94,ROWS($A$3:D59),FALSE)),HLOOKUP(AM$3,$V$3:$AG$94,ROWS($A$3:D59),FALSE)+CODE(LEFT($AK59))/1000,"")</f>
        <v>9400.078</v>
      </c>
      <c r="AN59" s="3">
        <f>IF(ISNUMBER(HLOOKUP(AN$3,$V$3:$AG$94,ROWS($A$3:E59),FALSE)),HLOOKUP(AN$3,$V$3:$AG$94,ROWS($A$3:E59),FALSE)+CODE(LEFT($AK59))/1000,"")</f>
        <v>10100.078</v>
      </c>
      <c r="AO59" s="3">
        <f>IF(ISNUMBER(HLOOKUP(AO$3,$V$3:$AG$94,ROWS($A$3:F59),FALSE)),HLOOKUP(AO$3,$V$3:$AG$94,ROWS($A$3:F59),FALSE)+CODE(LEFT($AK59))/1000,"")</f>
        <v>11300.078</v>
      </c>
      <c r="AP59" s="3" t="b">
        <f t="shared" si="18"/>
        <v>1</v>
      </c>
    </row>
    <row r="60" spans="1:42" ht="12.75">
      <c r="A60" t="b">
        <f t="shared" si="19"/>
        <v>0</v>
      </c>
      <c r="B60" t="s">
        <v>1284</v>
      </c>
      <c r="C60" t="s">
        <v>1323</v>
      </c>
      <c r="D60">
        <f t="shared" si="21"/>
        <v>5.1077</v>
      </c>
      <c r="E60">
        <v>57910</v>
      </c>
      <c r="F60">
        <v>65950</v>
      </c>
      <c r="G60">
        <v>74760</v>
      </c>
      <c r="H60">
        <v>83410</v>
      </c>
      <c r="I60">
        <v>37510</v>
      </c>
      <c r="J60">
        <v>41850</v>
      </c>
      <c r="K60">
        <v>48310</v>
      </c>
      <c r="L60">
        <v>55110</v>
      </c>
      <c r="M60">
        <v>15190</v>
      </c>
      <c r="N60">
        <v>18900</v>
      </c>
      <c r="O60">
        <v>22590</v>
      </c>
      <c r="P60">
        <v>25990</v>
      </c>
      <c r="Q60" s="45">
        <v>39563</v>
      </c>
      <c r="T60" s="4">
        <f t="shared" si="22"/>
        <v>5.1077</v>
      </c>
      <c r="V60" s="3">
        <f aca="true" t="shared" si="34" ref="V60:V93">IF(AND(E60&gt;0,ISNUMBER(E60)),E60/$T60,"")</f>
        <v>11337.784129843178</v>
      </c>
      <c r="W60" s="3">
        <f t="shared" si="23"/>
        <v>12911.87814476183</v>
      </c>
      <c r="X60" s="3">
        <f t="shared" si="24"/>
        <v>14636.724944691347</v>
      </c>
      <c r="Y60" s="3">
        <f t="shared" si="25"/>
        <v>16330.246490592634</v>
      </c>
      <c r="Z60" s="3">
        <f t="shared" si="26"/>
        <v>7343.814241243612</v>
      </c>
      <c r="AA60" s="3">
        <f t="shared" si="27"/>
        <v>8193.511756759402</v>
      </c>
      <c r="AB60" s="3">
        <f t="shared" si="28"/>
        <v>9458.268888149265</v>
      </c>
      <c r="AC60" s="3">
        <f t="shared" si="29"/>
        <v>10789.59218434912</v>
      </c>
      <c r="AD60" s="3">
        <f t="shared" si="30"/>
        <v>2973.9413043052646</v>
      </c>
      <c r="AE60" s="3">
        <f t="shared" si="31"/>
        <v>3700.295632084891</v>
      </c>
      <c r="AF60" s="3">
        <f t="shared" si="32"/>
        <v>4422.734303110989</v>
      </c>
      <c r="AG60" s="3">
        <f t="shared" si="33"/>
        <v>5088.395951210917</v>
      </c>
      <c r="AH60" s="3"/>
      <c r="AI60">
        <f t="shared" si="20"/>
        <v>32</v>
      </c>
      <c r="AJ60" s="3">
        <f>IF(ISNUMBER(HLOOKUP(listkey,$V$3:$AG$94,ROWS($A$3:C60),FALSE)),HLOOKUP(listkey,$V$3:$AG$94,ROWS($A$3:C60),FALSE)+CODE(LEFT($AK60))/1000+CODE(MID($AK60,2,1))/10000+CODE(RIGHT($AK60))/5000,"")</f>
        <v>12911.991444761828</v>
      </c>
      <c r="AK60" t="str">
        <f aca="true" t="shared" si="35" ref="AK60:AK93">PROPER(B60)</f>
        <v>Norway</v>
      </c>
      <c r="AL60" s="3">
        <f>IF(ISNUMBER(HLOOKUP(AL$3,$V$3:$AG$94,ROWS($A$3:C60),FALSE)),HLOOKUP(AL$3,$V$3:$AG$94,ROWS($A$3:C60),FALSE)+CODE(LEFT($AK60))/1000,"")</f>
        <v>11337.862129843177</v>
      </c>
      <c r="AM60" s="3">
        <f>IF(ISNUMBER(HLOOKUP(AM$3,$V$3:$AG$94,ROWS($A$3:D60),FALSE)),HLOOKUP(AM$3,$V$3:$AG$94,ROWS($A$3:D60),FALSE)+CODE(LEFT($AK60))/1000,"")</f>
        <v>12911.956144761829</v>
      </c>
      <c r="AN60" s="3">
        <f>IF(ISNUMBER(HLOOKUP(AN$3,$V$3:$AG$94,ROWS($A$3:E60),FALSE)),HLOOKUP(AN$3,$V$3:$AG$94,ROWS($A$3:E60),FALSE)+CODE(LEFT($AK60))/1000,"")</f>
        <v>14636.802944691346</v>
      </c>
      <c r="AO60" s="3">
        <f>IF(ISNUMBER(HLOOKUP(AO$3,$V$3:$AG$94,ROWS($A$3:F60),FALSE)),HLOOKUP(AO$3,$V$3:$AG$94,ROWS($A$3:F60),FALSE)+CODE(LEFT($AK60))/1000,"")</f>
        <v>16330.324490592633</v>
      </c>
      <c r="AP60" s="3" t="b">
        <f aca="true" t="shared" si="36" ref="AP60:AP93">A60</f>
        <v>0</v>
      </c>
    </row>
    <row r="61" spans="1:42" ht="12.75">
      <c r="A61" t="b">
        <f t="shared" si="19"/>
        <v>0</v>
      </c>
      <c r="B61" t="s">
        <v>1335</v>
      </c>
      <c r="C61" t="s">
        <v>1347</v>
      </c>
      <c r="D61">
        <f t="shared" si="21"/>
        <v>0.3856</v>
      </c>
      <c r="E61">
        <v>4239.410115595837</v>
      </c>
      <c r="F61">
        <v>4862.705941088368</v>
      </c>
      <c r="G61">
        <v>5361.573025077768</v>
      </c>
      <c r="H61">
        <v>6343.945620031492</v>
      </c>
      <c r="I61">
        <v>2868.0056837820193</v>
      </c>
      <c r="J61">
        <v>3242.0599869426633</v>
      </c>
      <c r="K61">
        <v>3740.5430316064367</v>
      </c>
      <c r="L61">
        <v>4239.410115595837</v>
      </c>
      <c r="M61">
        <v>1007.3351511194746</v>
      </c>
      <c r="N61">
        <v>1236.9906678443874</v>
      </c>
      <c r="O61">
        <v>1416.3370329121703</v>
      </c>
      <c r="P61">
        <v>1576.0973923729791</v>
      </c>
      <c r="Q61" s="45">
        <v>39563</v>
      </c>
      <c r="T61" s="4">
        <f t="shared" si="22"/>
        <v>0.3856</v>
      </c>
      <c r="V61" s="3">
        <f t="shared" si="34"/>
        <v>10994.320839200822</v>
      </c>
      <c r="W61" s="3">
        <f t="shared" si="23"/>
        <v>12610.751921909667</v>
      </c>
      <c r="X61" s="3">
        <f t="shared" si="24"/>
        <v>13904.494359641514</v>
      </c>
      <c r="Y61" s="3">
        <f t="shared" si="25"/>
        <v>16452.141130787062</v>
      </c>
      <c r="Z61" s="3">
        <f t="shared" si="26"/>
        <v>7437.774076198183</v>
      </c>
      <c r="AA61" s="3">
        <f t="shared" si="27"/>
        <v>8407.831916345081</v>
      </c>
      <c r="AB61" s="3">
        <f t="shared" si="28"/>
        <v>9700.578401468974</v>
      </c>
      <c r="AC61" s="3">
        <f t="shared" si="29"/>
        <v>10994.320839200822</v>
      </c>
      <c r="AD61" s="3">
        <f t="shared" si="30"/>
        <v>2612.383690662538</v>
      </c>
      <c r="AE61" s="3">
        <f t="shared" si="31"/>
        <v>3207.963350218847</v>
      </c>
      <c r="AF61" s="3">
        <f t="shared" si="32"/>
        <v>3673.073218133222</v>
      </c>
      <c r="AG61" s="3">
        <f t="shared" si="33"/>
        <v>4087.3895030419585</v>
      </c>
      <c r="AH61" s="3"/>
      <c r="AI61">
        <f t="shared" si="20"/>
        <v>34</v>
      </c>
      <c r="AJ61" s="3">
        <f>IF(ISNUMBER(HLOOKUP(listkey,$V$3:$AG$94,ROWS($A$3:C61),FALSE)),HLOOKUP(listkey,$V$3:$AG$94,ROWS($A$3:C61),FALSE)+CODE(LEFT($AK61))/1000+CODE(MID($AK61,2,1))/10000+CODE(RIGHT($AK61))/5000,"")</f>
        <v>12610.863821909667</v>
      </c>
      <c r="AK61" t="str">
        <f t="shared" si="35"/>
        <v>Oman</v>
      </c>
      <c r="AL61" s="3">
        <f>IF(ISNUMBER(HLOOKUP(AL$3,$V$3:$AG$94,ROWS($A$3:C61),FALSE)),HLOOKUP(AL$3,$V$3:$AG$94,ROWS($A$3:C61),FALSE)+CODE(LEFT($AK61))/1000,"")</f>
        <v>10994.399839200822</v>
      </c>
      <c r="AM61" s="3">
        <f>IF(ISNUMBER(HLOOKUP(AM$3,$V$3:$AG$94,ROWS($A$3:D61),FALSE)),HLOOKUP(AM$3,$V$3:$AG$94,ROWS($A$3:D61),FALSE)+CODE(LEFT($AK61))/1000,"")</f>
        <v>12610.830921909666</v>
      </c>
      <c r="AN61" s="3">
        <f>IF(ISNUMBER(HLOOKUP(AN$3,$V$3:$AG$94,ROWS($A$3:E61),FALSE)),HLOOKUP(AN$3,$V$3:$AG$94,ROWS($A$3:E61),FALSE)+CODE(LEFT($AK61))/1000,"")</f>
        <v>13904.573359641514</v>
      </c>
      <c r="AO61" s="3">
        <f>IF(ISNUMBER(HLOOKUP(AO$3,$V$3:$AG$94,ROWS($A$3:F61),FALSE)),HLOOKUP(AO$3,$V$3:$AG$94,ROWS($A$3:F61),FALSE)+CODE(LEFT($AK61))/1000,"")</f>
        <v>16452.220130787064</v>
      </c>
      <c r="AP61" s="3" t="b">
        <f t="shared" si="36"/>
        <v>0</v>
      </c>
    </row>
    <row r="62" spans="1:42" ht="12.75">
      <c r="A62" t="b">
        <f t="shared" si="19"/>
        <v>0</v>
      </c>
      <c r="B62" t="s">
        <v>1260</v>
      </c>
      <c r="C62" t="s">
        <v>1276</v>
      </c>
      <c r="D62">
        <f t="shared" si="21"/>
        <v>64.6129</v>
      </c>
      <c r="E62">
        <v>646919.1270860077</v>
      </c>
      <c r="F62">
        <v>721116.8164313223</v>
      </c>
      <c r="G62">
        <v>829332.4775353017</v>
      </c>
      <c r="H62">
        <v>925673.9409499358</v>
      </c>
      <c r="I62">
        <v>378562.2593068036</v>
      </c>
      <c r="J62">
        <v>426251.6046213094</v>
      </c>
      <c r="K62">
        <v>490243.9024390244</v>
      </c>
      <c r="L62">
        <v>563799.7432605905</v>
      </c>
      <c r="M62">
        <v>167522.4646983312</v>
      </c>
      <c r="N62">
        <v>201155.3273427471</v>
      </c>
      <c r="O62">
        <v>231322.2079589217</v>
      </c>
      <c r="P62">
        <v>265982.02824133507</v>
      </c>
      <c r="Q62" s="45">
        <v>39563</v>
      </c>
      <c r="T62" s="4">
        <f t="shared" si="22"/>
        <v>64.6129</v>
      </c>
      <c r="V62" s="3">
        <f t="shared" si="34"/>
        <v>10012.228627503297</v>
      </c>
      <c r="W62" s="3">
        <f t="shared" si="23"/>
        <v>11160.570357178247</v>
      </c>
      <c r="X62" s="3">
        <f t="shared" si="24"/>
        <v>12835.400942153994</v>
      </c>
      <c r="Y62" s="3">
        <f t="shared" si="25"/>
        <v>14326.457115373802</v>
      </c>
      <c r="Z62" s="3">
        <f t="shared" si="26"/>
        <v>5858.926921819073</v>
      </c>
      <c r="AA62" s="3">
        <f t="shared" si="27"/>
        <v>6597.004694438872</v>
      </c>
      <c r="AB62" s="3">
        <f t="shared" si="28"/>
        <v>7587.399767523582</v>
      </c>
      <c r="AC62" s="3">
        <f t="shared" si="29"/>
        <v>8725.807745211723</v>
      </c>
      <c r="AD62" s="3">
        <f t="shared" si="30"/>
        <v>2592.709268556762</v>
      </c>
      <c r="AE62" s="3">
        <f t="shared" si="31"/>
        <v>3113.2378726654756</v>
      </c>
      <c r="AF62" s="3">
        <f t="shared" si="32"/>
        <v>3580.1242160454294</v>
      </c>
      <c r="AG62" s="3">
        <f t="shared" si="33"/>
        <v>4116.546823333036</v>
      </c>
      <c r="AH62" s="3"/>
      <c r="AI62">
        <f t="shared" si="20"/>
        <v>57</v>
      </c>
      <c r="AJ62" s="3">
        <f>IF(ISNUMBER(HLOOKUP(listkey,$V$3:$AG$94,ROWS($A$3:C62),FALSE)),HLOOKUP(listkey,$V$3:$AG$94,ROWS($A$3:C62),FALSE)+CODE(LEFT($AK62))/1000+CODE(MID($AK62,2,1))/10000+CODE(RIGHT($AK62))/5000,"")</f>
        <v>11160.682057178248</v>
      </c>
      <c r="AK62" t="str">
        <f t="shared" si="35"/>
        <v>Pakistan</v>
      </c>
      <c r="AL62" s="3">
        <f>IF(ISNUMBER(HLOOKUP(AL$3,$V$3:$AG$94,ROWS($A$3:C62),FALSE)),HLOOKUP(AL$3,$V$3:$AG$94,ROWS($A$3:C62),FALSE)+CODE(LEFT($AK62))/1000,"")</f>
        <v>10012.308627503297</v>
      </c>
      <c r="AM62" s="3">
        <f>IF(ISNUMBER(HLOOKUP(AM$3,$V$3:$AG$94,ROWS($A$3:D62),FALSE)),HLOOKUP(AM$3,$V$3:$AG$94,ROWS($A$3:D62),FALSE)+CODE(LEFT($AK62))/1000,"")</f>
        <v>11160.650357178247</v>
      </c>
      <c r="AN62" s="3">
        <f>IF(ISNUMBER(HLOOKUP(AN$3,$V$3:$AG$94,ROWS($A$3:E62),FALSE)),HLOOKUP(AN$3,$V$3:$AG$94,ROWS($A$3:E62),FALSE)+CODE(LEFT($AK62))/1000,"")</f>
        <v>12835.480942153994</v>
      </c>
      <c r="AO62" s="3">
        <f>IF(ISNUMBER(HLOOKUP(AO$3,$V$3:$AG$94,ROWS($A$3:F62),FALSE)),HLOOKUP(AO$3,$V$3:$AG$94,ROWS($A$3:F62),FALSE)+CODE(LEFT($AK62))/1000,"")</f>
        <v>14326.537115373801</v>
      </c>
      <c r="AP62" s="3" t="b">
        <f t="shared" si="36"/>
        <v>0</v>
      </c>
    </row>
    <row r="63" spans="1:42" ht="12.75">
      <c r="A63" t="b">
        <f t="shared" si="19"/>
        <v>0</v>
      </c>
      <c r="B63" t="s">
        <v>1263</v>
      </c>
      <c r="C63" t="s">
        <v>1251</v>
      </c>
      <c r="D63">
        <f t="shared" si="21"/>
        <v>1</v>
      </c>
      <c r="E63">
        <v>8481</v>
      </c>
      <c r="F63">
        <v>9734</v>
      </c>
      <c r="G63">
        <v>11088</v>
      </c>
      <c r="H63">
        <v>12390</v>
      </c>
      <c r="I63">
        <v>6134</v>
      </c>
      <c r="J63">
        <v>7022</v>
      </c>
      <c r="K63">
        <v>8001</v>
      </c>
      <c r="L63">
        <v>8925</v>
      </c>
      <c r="M63">
        <v>2766</v>
      </c>
      <c r="N63">
        <v>3320</v>
      </c>
      <c r="O63">
        <v>3819</v>
      </c>
      <c r="P63">
        <v>4391</v>
      </c>
      <c r="Q63" s="45">
        <v>39563</v>
      </c>
      <c r="T63" s="4">
        <f t="shared" si="22"/>
        <v>1</v>
      </c>
      <c r="V63" s="3">
        <f t="shared" si="34"/>
        <v>8481</v>
      </c>
      <c r="W63" s="3">
        <f t="shared" si="23"/>
        <v>9734</v>
      </c>
      <c r="X63" s="3">
        <f t="shared" si="24"/>
        <v>11088</v>
      </c>
      <c r="Y63" s="3">
        <f t="shared" si="25"/>
        <v>12390</v>
      </c>
      <c r="Z63" s="3">
        <f t="shared" si="26"/>
        <v>6134</v>
      </c>
      <c r="AA63" s="3">
        <f t="shared" si="27"/>
        <v>7022</v>
      </c>
      <c r="AB63" s="3">
        <f t="shared" si="28"/>
        <v>8001</v>
      </c>
      <c r="AC63" s="3">
        <f t="shared" si="29"/>
        <v>8925</v>
      </c>
      <c r="AD63" s="3">
        <f t="shared" si="30"/>
        <v>2766</v>
      </c>
      <c r="AE63" s="3">
        <f t="shared" si="31"/>
        <v>3320</v>
      </c>
      <c r="AF63" s="3">
        <f t="shared" si="32"/>
        <v>3819</v>
      </c>
      <c r="AG63" s="3">
        <f t="shared" si="33"/>
        <v>4391</v>
      </c>
      <c r="AH63" s="3"/>
      <c r="AI63">
        <f t="shared" si="20"/>
        <v>67</v>
      </c>
      <c r="AJ63" s="3">
        <f>IF(ISNUMBER(HLOOKUP(listkey,$V$3:$AG$94,ROWS($A$3:C63),FALSE)),HLOOKUP(listkey,$V$3:$AG$94,ROWS($A$3:C63),FALSE)+CODE(LEFT($AK63))/1000+CODE(MID($AK63,2,1))/10000+CODE(RIGHT($AK63))/5000,"")</f>
        <v>9734.113399999998</v>
      </c>
      <c r="AK63" t="str">
        <f t="shared" si="35"/>
        <v>Philippines</v>
      </c>
      <c r="AL63" s="3">
        <f>IF(ISNUMBER(HLOOKUP(AL$3,$V$3:$AG$94,ROWS($A$3:C63),FALSE)),HLOOKUP(AL$3,$V$3:$AG$94,ROWS($A$3:C63),FALSE)+CODE(LEFT($AK63))/1000,"")</f>
        <v>8481.08</v>
      </c>
      <c r="AM63" s="3">
        <f>IF(ISNUMBER(HLOOKUP(AM$3,$V$3:$AG$94,ROWS($A$3:D63),FALSE)),HLOOKUP(AM$3,$V$3:$AG$94,ROWS($A$3:D63),FALSE)+CODE(LEFT($AK63))/1000,"")</f>
        <v>9734.08</v>
      </c>
      <c r="AN63" s="3">
        <f>IF(ISNUMBER(HLOOKUP(AN$3,$V$3:$AG$94,ROWS($A$3:E63),FALSE)),HLOOKUP(AN$3,$V$3:$AG$94,ROWS($A$3:E63),FALSE)+CODE(LEFT($AK63))/1000,"")</f>
        <v>11088.08</v>
      </c>
      <c r="AO63" s="3">
        <f>IF(ISNUMBER(HLOOKUP(AO$3,$V$3:$AG$94,ROWS($A$3:F63),FALSE)),HLOOKUP(AO$3,$V$3:$AG$94,ROWS($A$3:F63),FALSE)+CODE(LEFT($AK63))/1000,"")</f>
        <v>12390.08</v>
      </c>
      <c r="AP63" s="3" t="b">
        <f t="shared" si="36"/>
        <v>0</v>
      </c>
    </row>
    <row r="64" spans="1:42" ht="12.75">
      <c r="A64" t="b">
        <f t="shared" si="19"/>
        <v>1</v>
      </c>
      <c r="B64" t="s">
        <v>1287</v>
      </c>
      <c r="C64" t="s">
        <v>998</v>
      </c>
      <c r="D64">
        <f t="shared" si="21"/>
        <v>2.2322</v>
      </c>
      <c r="E64">
        <v>29144.949308755764</v>
      </c>
      <c r="F64">
        <v>34172.30721966206</v>
      </c>
      <c r="G64">
        <v>41104.22734254993</v>
      </c>
      <c r="H64">
        <v>42119.993855606765</v>
      </c>
      <c r="I64">
        <v>17981.812596006148</v>
      </c>
      <c r="J64">
        <v>20514.36559139785</v>
      </c>
      <c r="K64">
        <v>24172.497695852537</v>
      </c>
      <c r="L64">
        <v>26643.281105990787</v>
      </c>
      <c r="M64">
        <v>7831.010752688173</v>
      </c>
      <c r="N64">
        <v>9388.976958525347</v>
      </c>
      <c r="O64">
        <v>11046.46082949309</v>
      </c>
      <c r="P64">
        <v>13167.216589861753</v>
      </c>
      <c r="Q64" s="45">
        <v>39563</v>
      </c>
      <c r="T64" s="4">
        <f t="shared" si="22"/>
        <v>2.2322</v>
      </c>
      <c r="V64" s="3">
        <f t="shared" si="34"/>
        <v>13056.603041284725</v>
      </c>
      <c r="W64" s="3">
        <f t="shared" si="23"/>
        <v>15308.801729084338</v>
      </c>
      <c r="X64" s="3">
        <f t="shared" si="24"/>
        <v>18414.222445367766</v>
      </c>
      <c r="Y64" s="3">
        <f t="shared" si="25"/>
        <v>18869.274193892466</v>
      </c>
      <c r="Z64" s="3">
        <f t="shared" si="26"/>
        <v>8055.6458184778</v>
      </c>
      <c r="AA64" s="3">
        <f t="shared" si="27"/>
        <v>9190.200515813032</v>
      </c>
      <c r="AB64" s="3">
        <f t="shared" si="28"/>
        <v>10829.001745297255</v>
      </c>
      <c r="AC64" s="3">
        <f t="shared" si="29"/>
        <v>11935.884376843824</v>
      </c>
      <c r="AD64" s="3">
        <f t="shared" si="30"/>
        <v>3508.2030072073167</v>
      </c>
      <c r="AE64" s="3">
        <f t="shared" si="31"/>
        <v>4206.153999876959</v>
      </c>
      <c r="AF64" s="3">
        <f t="shared" si="32"/>
        <v>4948.687765206115</v>
      </c>
      <c r="AG64" s="3">
        <f t="shared" si="33"/>
        <v>5898.762023950252</v>
      </c>
      <c r="AH64" s="3"/>
      <c r="AI64">
        <f t="shared" si="20"/>
        <v>6</v>
      </c>
      <c r="AJ64" s="3">
        <f>IF(ISNUMBER(HLOOKUP(listkey,$V$3:$AG$94,ROWS($A$3:C64),FALSE)),HLOOKUP(listkey,$V$3:$AG$94,ROWS($A$3:C64),FALSE)+CODE(LEFT($AK64))/1000+CODE(MID($AK64,2,1))/10000+CODE(RIGHT($AK64))/5000,"")</f>
        <v>15308.912829084338</v>
      </c>
      <c r="AK64" t="str">
        <f t="shared" si="35"/>
        <v>Poland</v>
      </c>
      <c r="AL64" s="3">
        <f>IF(ISNUMBER(HLOOKUP(AL$3,$V$3:$AG$94,ROWS($A$3:C64),FALSE)),HLOOKUP(AL$3,$V$3:$AG$94,ROWS($A$3:C64),FALSE)+CODE(LEFT($AK64))/1000,"")</f>
        <v>13056.683041284725</v>
      </c>
      <c r="AM64" s="3">
        <f>IF(ISNUMBER(HLOOKUP(AM$3,$V$3:$AG$94,ROWS($A$3:D64),FALSE)),HLOOKUP(AM$3,$V$3:$AG$94,ROWS($A$3:D64),FALSE)+CODE(LEFT($AK64))/1000,"")</f>
        <v>15308.881729084338</v>
      </c>
      <c r="AN64" s="3">
        <f>IF(ISNUMBER(HLOOKUP(AN$3,$V$3:$AG$94,ROWS($A$3:E64),FALSE)),HLOOKUP(AN$3,$V$3:$AG$94,ROWS($A$3:E64),FALSE)+CODE(LEFT($AK64))/1000,"")</f>
        <v>18414.302445367768</v>
      </c>
      <c r="AO64" s="3">
        <f>IF(ISNUMBER(HLOOKUP(AO$3,$V$3:$AG$94,ROWS($A$3:F64),FALSE)),HLOOKUP(AO$3,$V$3:$AG$94,ROWS($A$3:F64),FALSE)+CODE(LEFT($AK64))/1000,"")</f>
        <v>18869.354193892468</v>
      </c>
      <c r="AP64" s="3" t="b">
        <f t="shared" si="36"/>
        <v>1</v>
      </c>
    </row>
    <row r="65" spans="1:42" ht="12.75">
      <c r="A65" t="b">
        <f t="shared" si="19"/>
        <v>0</v>
      </c>
      <c r="B65" t="s">
        <v>1290</v>
      </c>
      <c r="C65" t="s">
        <v>1308</v>
      </c>
      <c r="D65">
        <f t="shared" si="21"/>
        <v>0.6429</v>
      </c>
      <c r="E65">
        <v>8199</v>
      </c>
      <c r="F65">
        <v>9099</v>
      </c>
      <c r="G65">
        <v>10299</v>
      </c>
      <c r="H65">
        <v>11499</v>
      </c>
      <c r="I65">
        <v>4999</v>
      </c>
      <c r="J65">
        <v>5899</v>
      </c>
      <c r="K65">
        <v>6599</v>
      </c>
      <c r="L65">
        <v>7599</v>
      </c>
      <c r="M65">
        <v>1949</v>
      </c>
      <c r="N65">
        <v>2349</v>
      </c>
      <c r="O65">
        <v>2849</v>
      </c>
      <c r="P65">
        <v>3299</v>
      </c>
      <c r="Q65" s="45">
        <v>39563</v>
      </c>
      <c r="T65" s="4">
        <f t="shared" si="22"/>
        <v>0.6429</v>
      </c>
      <c r="V65" s="3">
        <f t="shared" si="34"/>
        <v>12753.149790013998</v>
      </c>
      <c r="W65" s="3">
        <f t="shared" si="23"/>
        <v>14153.056462902472</v>
      </c>
      <c r="X65" s="3">
        <f t="shared" si="24"/>
        <v>16019.598693420437</v>
      </c>
      <c r="Y65" s="3">
        <f t="shared" si="25"/>
        <v>17886.140923938405</v>
      </c>
      <c r="Z65" s="3">
        <f t="shared" si="26"/>
        <v>7775.703841966091</v>
      </c>
      <c r="AA65" s="3">
        <f t="shared" si="27"/>
        <v>9175.610514854565</v>
      </c>
      <c r="AB65" s="3">
        <f t="shared" si="28"/>
        <v>10264.426815990044</v>
      </c>
      <c r="AC65" s="3">
        <f t="shared" si="29"/>
        <v>11819.878674755017</v>
      </c>
      <c r="AD65" s="3">
        <f t="shared" si="30"/>
        <v>3031.575672732929</v>
      </c>
      <c r="AE65" s="3">
        <f t="shared" si="31"/>
        <v>3653.756416238917</v>
      </c>
      <c r="AF65" s="3">
        <f t="shared" si="32"/>
        <v>4431.482345621403</v>
      </c>
      <c r="AG65" s="3">
        <f t="shared" si="33"/>
        <v>5131.435682065639</v>
      </c>
      <c r="AH65" s="3"/>
      <c r="AI65">
        <f t="shared" si="20"/>
        <v>14</v>
      </c>
      <c r="AJ65" s="3">
        <f>IF(ISNUMBER(HLOOKUP(listkey,$V$3:$AG$94,ROWS($A$3:C65),FALSE)),HLOOKUP(listkey,$V$3:$AG$94,ROWS($A$3:C65),FALSE)+CODE(LEFT($AK65))/1000+CODE(MID($AK65,2,1))/10000+CODE(RIGHT($AK65))/5000,"")</f>
        <v>14153.169162902472</v>
      </c>
      <c r="AK65" t="str">
        <f t="shared" si="35"/>
        <v>Portugal</v>
      </c>
      <c r="AL65" s="3">
        <f>IF(ISNUMBER(HLOOKUP(AL$3,$V$3:$AG$94,ROWS($A$3:C65),FALSE)),HLOOKUP(AL$3,$V$3:$AG$94,ROWS($A$3:C65),FALSE)+CODE(LEFT($AK65))/1000,"")</f>
        <v>12753.229790013998</v>
      </c>
      <c r="AM65" s="3">
        <f>IF(ISNUMBER(HLOOKUP(AM$3,$V$3:$AG$94,ROWS($A$3:D65),FALSE)),HLOOKUP(AM$3,$V$3:$AG$94,ROWS($A$3:D65),FALSE)+CODE(LEFT($AK65))/1000,"")</f>
        <v>14153.136462902472</v>
      </c>
      <c r="AN65" s="3">
        <f>IF(ISNUMBER(HLOOKUP(AN$3,$V$3:$AG$94,ROWS($A$3:E65),FALSE)),HLOOKUP(AN$3,$V$3:$AG$94,ROWS($A$3:E65),FALSE)+CODE(LEFT($AK65))/1000,"")</f>
        <v>16019.678693420437</v>
      </c>
      <c r="AO65" s="3">
        <f>IF(ISNUMBER(HLOOKUP(AO$3,$V$3:$AG$94,ROWS($A$3:F65),FALSE)),HLOOKUP(AO$3,$V$3:$AG$94,ROWS($A$3:F65),FALSE)+CODE(LEFT($AK65))/1000,"")</f>
        <v>17886.220923938406</v>
      </c>
      <c r="AP65" s="3" t="b">
        <f t="shared" si="36"/>
        <v>0</v>
      </c>
    </row>
    <row r="66" spans="1:42" ht="12.75">
      <c r="A66" t="b">
        <f t="shared" si="19"/>
        <v>0</v>
      </c>
      <c r="B66" t="s">
        <v>1338</v>
      </c>
      <c r="C66" t="s">
        <v>1348</v>
      </c>
      <c r="D66">
        <f t="shared" si="21"/>
        <v>3.6432</v>
      </c>
      <c r="E66">
        <v>32500</v>
      </c>
      <c r="F66">
        <v>37250</v>
      </c>
      <c r="G66">
        <v>41880</v>
      </c>
      <c r="H66">
        <v>46630</v>
      </c>
      <c r="I66">
        <v>25500</v>
      </c>
      <c r="J66">
        <v>29130</v>
      </c>
      <c r="K66">
        <v>33000</v>
      </c>
      <c r="L66">
        <v>36750</v>
      </c>
      <c r="M66">
        <v>10510</v>
      </c>
      <c r="N66">
        <v>12000</v>
      </c>
      <c r="O66">
        <v>13500</v>
      </c>
      <c r="P66">
        <v>15000</v>
      </c>
      <c r="Q66" s="45">
        <v>39563</v>
      </c>
      <c r="T66" s="4">
        <f t="shared" si="22"/>
        <v>3.6432</v>
      </c>
      <c r="V66" s="3">
        <f t="shared" si="34"/>
        <v>8920.729029424681</v>
      </c>
      <c r="W66" s="3">
        <f t="shared" si="23"/>
        <v>10224.527887571365</v>
      </c>
      <c r="X66" s="3">
        <f t="shared" si="24"/>
        <v>11495.388669301712</v>
      </c>
      <c r="Y66" s="3">
        <f t="shared" si="25"/>
        <v>12799.187527448395</v>
      </c>
      <c r="Z66" s="3">
        <f t="shared" si="26"/>
        <v>6999.341238471673</v>
      </c>
      <c r="AA66" s="3">
        <f t="shared" si="27"/>
        <v>7995.718050065876</v>
      </c>
      <c r="AB66" s="3">
        <f t="shared" si="28"/>
        <v>9057.971014492754</v>
      </c>
      <c r="AC66" s="3">
        <f t="shared" si="29"/>
        <v>10087.285902503294</v>
      </c>
      <c r="AD66" s="3">
        <f t="shared" si="30"/>
        <v>2884.826526130874</v>
      </c>
      <c r="AE66" s="3">
        <f t="shared" si="31"/>
        <v>3293.8076416337285</v>
      </c>
      <c r="AF66" s="3">
        <f t="shared" si="32"/>
        <v>3705.5335968379445</v>
      </c>
      <c r="AG66" s="3">
        <f t="shared" si="33"/>
        <v>4117.25955204216</v>
      </c>
      <c r="AH66" s="3"/>
      <c r="AI66">
        <f t="shared" si="20"/>
        <v>61</v>
      </c>
      <c r="AJ66" s="3">
        <f>IF(ISNUMBER(HLOOKUP(listkey,$V$3:$AG$94,ROWS($A$3:C66),FALSE)),HLOOKUP(listkey,$V$3:$AG$94,ROWS($A$3:C66),FALSE)+CODE(LEFT($AK66))/1000+CODE(MID($AK66,2,1))/10000+CODE(RIGHT($AK66))/5000,"")</f>
        <v>10224.641387571366</v>
      </c>
      <c r="AK66" t="str">
        <f t="shared" si="35"/>
        <v>Qatar</v>
      </c>
      <c r="AL66" s="3">
        <f>IF(ISNUMBER(HLOOKUP(AL$3,$V$3:$AG$94,ROWS($A$3:C66),FALSE)),HLOOKUP(AL$3,$V$3:$AG$94,ROWS($A$3:C66),FALSE)+CODE(LEFT($AK66))/1000,"")</f>
        <v>8920.810029424681</v>
      </c>
      <c r="AM66" s="3">
        <f>IF(ISNUMBER(HLOOKUP(AM$3,$V$3:$AG$94,ROWS($A$3:D66),FALSE)),HLOOKUP(AM$3,$V$3:$AG$94,ROWS($A$3:D66),FALSE)+CODE(LEFT($AK66))/1000,"")</f>
        <v>10224.608887571365</v>
      </c>
      <c r="AN66" s="3">
        <f>IF(ISNUMBER(HLOOKUP(AN$3,$V$3:$AG$94,ROWS($A$3:E66),FALSE)),HLOOKUP(AN$3,$V$3:$AG$94,ROWS($A$3:E66),FALSE)+CODE(LEFT($AK66))/1000,"")</f>
        <v>11495.469669301712</v>
      </c>
      <c r="AO66" s="3">
        <f>IF(ISNUMBER(HLOOKUP(AO$3,$V$3:$AG$94,ROWS($A$3:F66),FALSE)),HLOOKUP(AO$3,$V$3:$AG$94,ROWS($A$3:F66),FALSE)+CODE(LEFT($AK66))/1000,"")</f>
        <v>12799.268527448396</v>
      </c>
      <c r="AP66" s="3" t="b">
        <f t="shared" si="36"/>
        <v>0</v>
      </c>
    </row>
    <row r="67" spans="1:42" ht="12.75">
      <c r="A67" t="b">
        <f t="shared" si="19"/>
        <v>1</v>
      </c>
      <c r="B67" t="s">
        <v>1293</v>
      </c>
      <c r="C67" t="s">
        <v>1308</v>
      </c>
      <c r="D67">
        <f t="shared" si="21"/>
        <v>0.6429</v>
      </c>
      <c r="E67">
        <v>6900</v>
      </c>
      <c r="F67">
        <v>7700</v>
      </c>
      <c r="G67">
        <v>8700</v>
      </c>
      <c r="H67">
        <v>9800</v>
      </c>
      <c r="I67">
        <v>4800</v>
      </c>
      <c r="J67">
        <v>5200</v>
      </c>
      <c r="K67">
        <v>5900</v>
      </c>
      <c r="L67">
        <v>6800</v>
      </c>
      <c r="M67">
        <v>1810</v>
      </c>
      <c r="N67">
        <v>2250</v>
      </c>
      <c r="O67">
        <v>2790</v>
      </c>
      <c r="P67">
        <v>3260</v>
      </c>
      <c r="Q67" s="45">
        <v>39563</v>
      </c>
      <c r="T67" s="4">
        <f t="shared" si="22"/>
        <v>0.6429</v>
      </c>
      <c r="V67" s="3">
        <f t="shared" si="34"/>
        <v>10732.6178254783</v>
      </c>
      <c r="W67" s="3">
        <f t="shared" si="23"/>
        <v>11976.979312490277</v>
      </c>
      <c r="X67" s="3">
        <f t="shared" si="24"/>
        <v>13532.43117125525</v>
      </c>
      <c r="Y67" s="3">
        <f t="shared" si="25"/>
        <v>15243.428215896718</v>
      </c>
      <c r="Z67" s="3">
        <f t="shared" si="26"/>
        <v>7466.168922071862</v>
      </c>
      <c r="AA67" s="3">
        <f t="shared" si="27"/>
        <v>8088.34966557785</v>
      </c>
      <c r="AB67" s="3">
        <f t="shared" si="28"/>
        <v>9177.16596671333</v>
      </c>
      <c r="AC67" s="3">
        <f t="shared" si="29"/>
        <v>10577.072639601804</v>
      </c>
      <c r="AD67" s="3">
        <f t="shared" si="30"/>
        <v>2815.3678643645976</v>
      </c>
      <c r="AE67" s="3">
        <f t="shared" si="31"/>
        <v>3499.766682221185</v>
      </c>
      <c r="AF67" s="3">
        <f t="shared" si="32"/>
        <v>4339.710685954269</v>
      </c>
      <c r="AG67" s="3">
        <f t="shared" si="33"/>
        <v>5070.773059573806</v>
      </c>
      <c r="AH67" s="3"/>
      <c r="AI67">
        <f t="shared" si="20"/>
        <v>46</v>
      </c>
      <c r="AJ67" s="3">
        <f>IF(ISNUMBER(HLOOKUP(listkey,$V$3:$AG$94,ROWS($A$3:C67),FALSE)),HLOOKUP(listkey,$V$3:$AG$94,ROWS($A$3:C67),FALSE)+CODE(LEFT($AK67))/1000+CODE(MID($AK67,2,1))/10000+CODE(RIGHT($AK67))/5000,"")</f>
        <v>11977.091812490276</v>
      </c>
      <c r="AK67" t="str">
        <f t="shared" si="35"/>
        <v>Romania</v>
      </c>
      <c r="AL67" s="3">
        <f>IF(ISNUMBER(HLOOKUP(AL$3,$V$3:$AG$94,ROWS($A$3:C67),FALSE)),HLOOKUP(AL$3,$V$3:$AG$94,ROWS($A$3:C67),FALSE)+CODE(LEFT($AK67))/1000,"")</f>
        <v>10732.699825478301</v>
      </c>
      <c r="AM67" s="3">
        <f>IF(ISNUMBER(HLOOKUP(AM$3,$V$3:$AG$94,ROWS($A$3:D67),FALSE)),HLOOKUP(AM$3,$V$3:$AG$94,ROWS($A$3:D67),FALSE)+CODE(LEFT($AK67))/1000,"")</f>
        <v>11977.061312490277</v>
      </c>
      <c r="AN67" s="3">
        <f>IF(ISNUMBER(HLOOKUP(AN$3,$V$3:$AG$94,ROWS($A$3:E67),FALSE)),HLOOKUP(AN$3,$V$3:$AG$94,ROWS($A$3:E67),FALSE)+CODE(LEFT($AK67))/1000,"")</f>
        <v>13532.51317125525</v>
      </c>
      <c r="AO67" s="3">
        <f>IF(ISNUMBER(HLOOKUP(AO$3,$V$3:$AG$94,ROWS($A$3:F67),FALSE)),HLOOKUP(AO$3,$V$3:$AG$94,ROWS($A$3:F67),FALSE)+CODE(LEFT($AK67))/1000,"")</f>
        <v>15243.510215896718</v>
      </c>
      <c r="AP67" s="3" t="b">
        <f t="shared" si="36"/>
        <v>1</v>
      </c>
    </row>
    <row r="68" spans="1:42" ht="12.75">
      <c r="A68" t="b">
        <f aca="true" t="shared" si="37" ref="A68:A91">ISNA(VLOOKUP(PROPER(B68),$B$97:$H$241,1,FALSE))</f>
        <v>1</v>
      </c>
      <c r="B68" t="s">
        <v>1296</v>
      </c>
      <c r="C68" t="s">
        <v>1251</v>
      </c>
      <c r="D68">
        <f t="shared" si="21"/>
        <v>1</v>
      </c>
      <c r="E68">
        <v>11425.7628</v>
      </c>
      <c r="F68">
        <v>13259.5272</v>
      </c>
      <c r="G68">
        <v>15375.409200000002</v>
      </c>
      <c r="H68">
        <v>16785.9972</v>
      </c>
      <c r="I68">
        <v>8322.469200000001</v>
      </c>
      <c r="J68">
        <v>9309.8808</v>
      </c>
      <c r="K68">
        <v>10861.527600000001</v>
      </c>
      <c r="L68">
        <v>12272.115600000001</v>
      </c>
      <c r="M68">
        <v>3808.5876000000003</v>
      </c>
      <c r="N68">
        <v>4231.764</v>
      </c>
      <c r="O68">
        <v>5078.116800000001</v>
      </c>
      <c r="P68">
        <v>5783.410800000001</v>
      </c>
      <c r="Q68" s="45">
        <v>39563</v>
      </c>
      <c r="T68" s="4">
        <f t="shared" si="22"/>
        <v>1</v>
      </c>
      <c r="V68" s="3">
        <f t="shared" si="34"/>
        <v>11425.7628</v>
      </c>
      <c r="W68" s="3">
        <f t="shared" si="23"/>
        <v>13259.5272</v>
      </c>
      <c r="X68" s="3">
        <f t="shared" si="24"/>
        <v>15375.409200000002</v>
      </c>
      <c r="Y68" s="3">
        <f t="shared" si="25"/>
        <v>16785.9972</v>
      </c>
      <c r="Z68" s="3">
        <f t="shared" si="26"/>
        <v>8322.469200000001</v>
      </c>
      <c r="AA68" s="3">
        <f t="shared" si="27"/>
        <v>9309.8808</v>
      </c>
      <c r="AB68" s="3">
        <f t="shared" si="28"/>
        <v>10861.527600000001</v>
      </c>
      <c r="AC68" s="3">
        <f t="shared" si="29"/>
        <v>12272.115600000001</v>
      </c>
      <c r="AD68" s="3">
        <f t="shared" si="30"/>
        <v>3808.5876000000003</v>
      </c>
      <c r="AE68" s="3">
        <f t="shared" si="31"/>
        <v>4231.764</v>
      </c>
      <c r="AF68" s="3">
        <f t="shared" si="32"/>
        <v>5078.116800000001</v>
      </c>
      <c r="AG68" s="3">
        <f t="shared" si="33"/>
        <v>5783.410800000001</v>
      </c>
      <c r="AH68" s="3"/>
      <c r="AI68">
        <f aca="true" t="shared" si="38" ref="AI68:AI93">IF(AJ68&lt;&gt;"",RANK(AJ68,$AJ$4:$AJ$94),"")</f>
        <v>30</v>
      </c>
      <c r="AJ68" s="3">
        <f>IF(ISNUMBER(HLOOKUP(listkey,$V$3:$AG$94,ROWS($A$3:C68),FALSE)),HLOOKUP(listkey,$V$3:$AG$94,ROWS($A$3:C68),FALSE)+CODE(LEFT($AK68))/1000+CODE(MID($AK68,2,1))/10000+CODE(RIGHT($AK68))/5000,"")</f>
        <v>13259.6403</v>
      </c>
      <c r="AK68" t="str">
        <f t="shared" si="35"/>
        <v>Russia</v>
      </c>
      <c r="AL68" s="3">
        <f>IF(ISNUMBER(HLOOKUP(AL$3,$V$3:$AG$94,ROWS($A$3:C68),FALSE)),HLOOKUP(AL$3,$V$3:$AG$94,ROWS($A$3:C68),FALSE)+CODE(LEFT($AK68))/1000,"")</f>
        <v>11425.8448</v>
      </c>
      <c r="AM68" s="3">
        <f>IF(ISNUMBER(HLOOKUP(AM$3,$V$3:$AG$94,ROWS($A$3:D68),FALSE)),HLOOKUP(AM$3,$V$3:$AG$94,ROWS($A$3:D68),FALSE)+CODE(LEFT($AK68))/1000,"")</f>
        <v>13259.6092</v>
      </c>
      <c r="AN68" s="3">
        <f>IF(ISNUMBER(HLOOKUP(AN$3,$V$3:$AG$94,ROWS($A$3:E68),FALSE)),HLOOKUP(AN$3,$V$3:$AG$94,ROWS($A$3:E68),FALSE)+CODE(LEFT($AK68))/1000,"")</f>
        <v>15375.491200000002</v>
      </c>
      <c r="AO68" s="3">
        <f>IF(ISNUMBER(HLOOKUP(AO$3,$V$3:$AG$94,ROWS($A$3:F68),FALSE)),HLOOKUP(AO$3,$V$3:$AG$94,ROWS($A$3:F68),FALSE)+CODE(LEFT($AK68))/1000,"")</f>
        <v>16786.0792</v>
      </c>
      <c r="AP68" s="3" t="b">
        <f t="shared" si="36"/>
        <v>1</v>
      </c>
    </row>
    <row r="69" spans="1:42" ht="12.75">
      <c r="A69" t="b">
        <f t="shared" si="37"/>
        <v>0</v>
      </c>
      <c r="B69" t="s">
        <v>1362</v>
      </c>
      <c r="C69" t="s">
        <v>1349</v>
      </c>
      <c r="D69">
        <f t="shared" si="21"/>
        <v>3.7551</v>
      </c>
      <c r="E69">
        <v>29800</v>
      </c>
      <c r="F69">
        <v>34100</v>
      </c>
      <c r="G69">
        <v>38400</v>
      </c>
      <c r="H69">
        <v>42800</v>
      </c>
      <c r="I69">
        <v>22300</v>
      </c>
      <c r="J69">
        <v>25600</v>
      </c>
      <c r="K69">
        <v>28900</v>
      </c>
      <c r="L69">
        <v>32200</v>
      </c>
      <c r="M69">
        <v>11000</v>
      </c>
      <c r="N69">
        <v>12500</v>
      </c>
      <c r="O69">
        <v>14100</v>
      </c>
      <c r="P69">
        <v>15700</v>
      </c>
      <c r="Q69" s="45">
        <v>39123</v>
      </c>
      <c r="T69" s="4">
        <f t="shared" si="22"/>
        <v>3.7551</v>
      </c>
      <c r="V69" s="3">
        <f t="shared" si="34"/>
        <v>7935.873878192325</v>
      </c>
      <c r="W69" s="3">
        <f t="shared" si="23"/>
        <v>9080.98319618652</v>
      </c>
      <c r="X69" s="3">
        <f t="shared" si="24"/>
        <v>10226.092514180715</v>
      </c>
      <c r="Y69" s="3">
        <f t="shared" si="25"/>
        <v>11397.832281430587</v>
      </c>
      <c r="Z69" s="3">
        <f t="shared" si="26"/>
        <v>5938.590184016404</v>
      </c>
      <c r="AA69" s="3">
        <f t="shared" si="27"/>
        <v>6817.3950094538095</v>
      </c>
      <c r="AB69" s="3">
        <f t="shared" si="28"/>
        <v>7696.199834891215</v>
      </c>
      <c r="AC69" s="3">
        <f t="shared" si="29"/>
        <v>8575.00466032862</v>
      </c>
      <c r="AD69" s="3">
        <f t="shared" si="30"/>
        <v>2929.349418124684</v>
      </c>
      <c r="AE69" s="3">
        <f t="shared" si="31"/>
        <v>3328.8061569598676</v>
      </c>
      <c r="AF69" s="3">
        <f t="shared" si="32"/>
        <v>3754.893345050731</v>
      </c>
      <c r="AG69" s="3">
        <f t="shared" si="33"/>
        <v>4180.980533141594</v>
      </c>
      <c r="AH69" s="3"/>
      <c r="AI69">
        <f t="shared" si="38"/>
        <v>80</v>
      </c>
      <c r="AJ69" s="3">
        <f>IF(ISNUMBER(HLOOKUP(listkey,$V$3:$AG$94,ROWS($A$3:C69),FALSE)),HLOOKUP(listkey,$V$3:$AG$94,ROWS($A$3:C69),FALSE)+CODE(LEFT($AK69))/1000+CODE(MID($AK69,2,1))/10000+CODE(RIGHT($AK69))/5000,"")</f>
        <v>9081.09529618652</v>
      </c>
      <c r="AK69" t="str">
        <f t="shared" si="35"/>
        <v>Saudi Arabia</v>
      </c>
      <c r="AL69" s="3">
        <f>IF(ISNUMBER(HLOOKUP(AL$3,$V$3:$AG$94,ROWS($A$3:C69),FALSE)),HLOOKUP(AL$3,$V$3:$AG$94,ROWS($A$3:C69),FALSE)+CODE(LEFT($AK69))/1000,"")</f>
        <v>7935.956878192324</v>
      </c>
      <c r="AM69" s="3">
        <f>IF(ISNUMBER(HLOOKUP(AM$3,$V$3:$AG$94,ROWS($A$3:D69),FALSE)),HLOOKUP(AM$3,$V$3:$AG$94,ROWS($A$3:D69),FALSE)+CODE(LEFT($AK69))/1000,"")</f>
        <v>9081.06619618652</v>
      </c>
      <c r="AN69" s="3">
        <f>IF(ISNUMBER(HLOOKUP(AN$3,$V$3:$AG$94,ROWS($A$3:E69),FALSE)),HLOOKUP(AN$3,$V$3:$AG$94,ROWS($A$3:E69),FALSE)+CODE(LEFT($AK69))/1000,"")</f>
        <v>10226.175514180715</v>
      </c>
      <c r="AO69" s="3">
        <f>IF(ISNUMBER(HLOOKUP(AO$3,$V$3:$AG$94,ROWS($A$3:F69),FALSE)),HLOOKUP(AO$3,$V$3:$AG$94,ROWS($A$3:F69),FALSE)+CODE(LEFT($AK69))/1000,"")</f>
        <v>11397.915281430587</v>
      </c>
      <c r="AP69" s="3" t="b">
        <f t="shared" si="36"/>
        <v>0</v>
      </c>
    </row>
    <row r="70" spans="1:42" ht="12.75">
      <c r="A70" t="b">
        <f t="shared" si="37"/>
        <v>1</v>
      </c>
      <c r="B70" t="s">
        <v>1467</v>
      </c>
      <c r="C70" t="s">
        <v>1308</v>
      </c>
      <c r="D70">
        <f t="shared" si="21"/>
        <v>0.6429</v>
      </c>
      <c r="E70">
        <v>6900</v>
      </c>
      <c r="F70">
        <v>7700</v>
      </c>
      <c r="G70">
        <v>8700</v>
      </c>
      <c r="H70">
        <v>9800</v>
      </c>
      <c r="I70">
        <v>4800</v>
      </c>
      <c r="J70">
        <v>5200</v>
      </c>
      <c r="K70">
        <v>5900</v>
      </c>
      <c r="L70">
        <v>6800</v>
      </c>
      <c r="M70">
        <v>1810</v>
      </c>
      <c r="N70">
        <v>2250</v>
      </c>
      <c r="O70">
        <v>2790</v>
      </c>
      <c r="P70">
        <v>3260</v>
      </c>
      <c r="Q70" s="45">
        <v>39123</v>
      </c>
      <c r="T70" s="4">
        <f t="shared" si="22"/>
        <v>0.6429</v>
      </c>
      <c r="V70" s="3">
        <f t="shared" si="34"/>
        <v>10732.6178254783</v>
      </c>
      <c r="W70" s="3">
        <f t="shared" si="23"/>
        <v>11976.979312490277</v>
      </c>
      <c r="X70" s="3">
        <f t="shared" si="24"/>
        <v>13532.43117125525</v>
      </c>
      <c r="Y70" s="3">
        <f t="shared" si="25"/>
        <v>15243.428215896718</v>
      </c>
      <c r="Z70" s="3">
        <f t="shared" si="26"/>
        <v>7466.168922071862</v>
      </c>
      <c r="AA70" s="3">
        <f t="shared" si="27"/>
        <v>8088.34966557785</v>
      </c>
      <c r="AB70" s="3">
        <f t="shared" si="28"/>
        <v>9177.16596671333</v>
      </c>
      <c r="AC70" s="3">
        <f t="shared" si="29"/>
        <v>10577.072639601804</v>
      </c>
      <c r="AD70" s="3">
        <f t="shared" si="30"/>
        <v>2815.3678643645976</v>
      </c>
      <c r="AE70" s="3">
        <f t="shared" si="31"/>
        <v>3499.766682221185</v>
      </c>
      <c r="AF70" s="3">
        <f t="shared" si="32"/>
        <v>4339.710685954269</v>
      </c>
      <c r="AG70" s="3">
        <f t="shared" si="33"/>
        <v>5070.773059573806</v>
      </c>
      <c r="AH70" s="3"/>
      <c r="AI70">
        <f t="shared" si="38"/>
        <v>45</v>
      </c>
      <c r="AJ70" s="3">
        <f>IF(ISNUMBER(HLOOKUP(listkey,$V$3:$AG$94,ROWS($A$3:C70),FALSE)),HLOOKUP(listkey,$V$3:$AG$94,ROWS($A$3:C70),FALSE)+CODE(LEFT($AK70))/1000+CODE(MID($AK70,2,1))/10000+CODE(RIGHT($AK70))/5000,"")</f>
        <v>11977.094612490277</v>
      </c>
      <c r="AK70" t="str">
        <f t="shared" si="35"/>
        <v>Serbia-Montenegro</v>
      </c>
      <c r="AL70" s="3">
        <f>IF(ISNUMBER(HLOOKUP(AL$3,$V$3:$AG$94,ROWS($A$3:C70),FALSE)),HLOOKUP(AL$3,$V$3:$AG$94,ROWS($A$3:C70),FALSE)+CODE(LEFT($AK70))/1000,"")</f>
        <v>10732.700825478301</v>
      </c>
      <c r="AM70" s="3">
        <f>IF(ISNUMBER(HLOOKUP(AM$3,$V$3:$AG$94,ROWS($A$3:D70),FALSE)),HLOOKUP(AM$3,$V$3:$AG$94,ROWS($A$3:D70),FALSE)+CODE(LEFT($AK70))/1000,"")</f>
        <v>11977.062312490278</v>
      </c>
      <c r="AN70" s="3">
        <f>IF(ISNUMBER(HLOOKUP(AN$3,$V$3:$AG$94,ROWS($A$3:E70),FALSE)),HLOOKUP(AN$3,$V$3:$AG$94,ROWS($A$3:E70),FALSE)+CODE(LEFT($AK70))/1000,"")</f>
        <v>13532.51417125525</v>
      </c>
      <c r="AO70" s="3">
        <f>IF(ISNUMBER(HLOOKUP(AO$3,$V$3:$AG$94,ROWS($A$3:F70),FALSE)),HLOOKUP(AO$3,$V$3:$AG$94,ROWS($A$3:F70),FALSE)+CODE(LEFT($AK70))/1000,"")</f>
        <v>15243.511215896719</v>
      </c>
      <c r="AP70" s="3" t="b">
        <f t="shared" si="36"/>
        <v>1</v>
      </c>
    </row>
    <row r="71" spans="1:42" ht="12.75">
      <c r="A71" t="b">
        <f t="shared" si="37"/>
        <v>0</v>
      </c>
      <c r="B71" t="s">
        <v>1265</v>
      </c>
      <c r="C71" t="s">
        <v>1277</v>
      </c>
      <c r="D71">
        <f t="shared" si="21"/>
        <v>1.3587</v>
      </c>
      <c r="E71">
        <v>17160</v>
      </c>
      <c r="F71">
        <v>18684</v>
      </c>
      <c r="G71">
        <v>21492</v>
      </c>
      <c r="H71">
        <v>24710</v>
      </c>
      <c r="I71">
        <v>11550</v>
      </c>
      <c r="J71">
        <v>12975</v>
      </c>
      <c r="K71">
        <v>14936</v>
      </c>
      <c r="L71">
        <v>16685</v>
      </c>
      <c r="M71">
        <v>4730</v>
      </c>
      <c r="N71">
        <v>5365</v>
      </c>
      <c r="O71">
        <v>6170</v>
      </c>
      <c r="P71">
        <v>7480</v>
      </c>
      <c r="Q71" s="45">
        <v>39563</v>
      </c>
      <c r="T71" s="4">
        <f t="shared" si="22"/>
        <v>1.3587</v>
      </c>
      <c r="V71" s="3">
        <f t="shared" si="34"/>
        <v>12629.719584897328</v>
      </c>
      <c r="W71" s="3">
        <f t="shared" si="23"/>
        <v>13751.379995584013</v>
      </c>
      <c r="X71" s="3">
        <f t="shared" si="24"/>
        <v>15818.061382203578</v>
      </c>
      <c r="Y71" s="3">
        <f t="shared" si="25"/>
        <v>18186.50180319423</v>
      </c>
      <c r="Z71" s="3">
        <f t="shared" si="26"/>
        <v>8500.772797527048</v>
      </c>
      <c r="AA71" s="3">
        <f t="shared" si="27"/>
        <v>9549.569441377787</v>
      </c>
      <c r="AB71" s="3">
        <f t="shared" si="28"/>
        <v>10992.860822845367</v>
      </c>
      <c r="AC71" s="3">
        <f t="shared" si="29"/>
        <v>12280.120703613748</v>
      </c>
      <c r="AD71" s="3">
        <f t="shared" si="30"/>
        <v>3481.2688599396483</v>
      </c>
      <c r="AE71" s="3">
        <f t="shared" si="31"/>
        <v>3948.6273643924337</v>
      </c>
      <c r="AF71" s="3">
        <f t="shared" si="32"/>
        <v>4541.1054684625005</v>
      </c>
      <c r="AG71" s="3">
        <f t="shared" si="33"/>
        <v>5505.262383160374</v>
      </c>
      <c r="AH71" s="3"/>
      <c r="AI71">
        <f t="shared" si="38"/>
        <v>27</v>
      </c>
      <c r="AJ71" s="3">
        <f>IF(ISNUMBER(HLOOKUP(listkey,$V$3:$AG$94,ROWS($A$3:C71),FALSE)),HLOOKUP(listkey,$V$3:$AG$94,ROWS($A$3:C71),FALSE)+CODE(LEFT($AK71))/1000+CODE(MID($AK71,2,1))/10000+CODE(RIGHT($AK71))/5000,"")</f>
        <v>13751.493695584015</v>
      </c>
      <c r="AK71" t="str">
        <f t="shared" si="35"/>
        <v>Singapore</v>
      </c>
      <c r="AL71" s="3">
        <f>IF(ISNUMBER(HLOOKUP(AL$3,$V$3:$AG$94,ROWS($A$3:C71),FALSE)),HLOOKUP(AL$3,$V$3:$AG$94,ROWS($A$3:C71),FALSE)+CODE(LEFT($AK71))/1000,"")</f>
        <v>12629.802584897328</v>
      </c>
      <c r="AM71" s="3">
        <f>IF(ISNUMBER(HLOOKUP(AM$3,$V$3:$AG$94,ROWS($A$3:D71),FALSE)),HLOOKUP(AM$3,$V$3:$AG$94,ROWS($A$3:D71),FALSE)+CODE(LEFT($AK71))/1000,"")</f>
        <v>13751.462995584014</v>
      </c>
      <c r="AN71" s="3">
        <f>IF(ISNUMBER(HLOOKUP(AN$3,$V$3:$AG$94,ROWS($A$3:E71),FALSE)),HLOOKUP(AN$3,$V$3:$AG$94,ROWS($A$3:E71),FALSE)+CODE(LEFT($AK71))/1000,"")</f>
        <v>15818.144382203578</v>
      </c>
      <c r="AO71" s="3">
        <f>IF(ISNUMBER(HLOOKUP(AO$3,$V$3:$AG$94,ROWS($A$3:F71),FALSE)),HLOOKUP(AO$3,$V$3:$AG$94,ROWS($A$3:F71),FALSE)+CODE(LEFT($AK71))/1000,"")</f>
        <v>18186.58480319423</v>
      </c>
      <c r="AP71" s="3" t="b">
        <f t="shared" si="36"/>
        <v>0</v>
      </c>
    </row>
    <row r="72" spans="1:42" ht="12.75">
      <c r="A72" t="b">
        <f t="shared" si="37"/>
        <v>0</v>
      </c>
      <c r="B72" t="s">
        <v>1357</v>
      </c>
      <c r="C72" t="s">
        <v>1257</v>
      </c>
      <c r="D72">
        <f t="shared" si="21"/>
        <v>7.5881</v>
      </c>
      <c r="F72">
        <v>51990</v>
      </c>
      <c r="G72">
        <v>66000</v>
      </c>
      <c r="H72">
        <v>76800</v>
      </c>
      <c r="J72">
        <v>39950</v>
      </c>
      <c r="K72">
        <v>45300</v>
      </c>
      <c r="L72">
        <v>53000</v>
      </c>
      <c r="N72">
        <v>18500</v>
      </c>
      <c r="O72">
        <v>22000</v>
      </c>
      <c r="P72">
        <v>27000</v>
      </c>
      <c r="Q72" s="45">
        <v>39563</v>
      </c>
      <c r="T72" s="4">
        <f t="shared" si="22"/>
        <v>7.5881</v>
      </c>
      <c r="V72" s="3">
        <f t="shared" si="34"/>
      </c>
      <c r="W72" s="3">
        <f t="shared" si="23"/>
        <v>6851.517507676494</v>
      </c>
      <c r="X72" s="3">
        <f t="shared" si="24"/>
        <v>8697.829496184815</v>
      </c>
      <c r="Y72" s="3">
        <f t="shared" si="25"/>
        <v>10121.110686469603</v>
      </c>
      <c r="Z72" s="3">
        <f t="shared" si="26"/>
      </c>
      <c r="AA72" s="3">
        <f t="shared" si="27"/>
        <v>5264.822551099748</v>
      </c>
      <c r="AB72" s="3">
        <f t="shared" si="28"/>
        <v>5969.873881472306</v>
      </c>
      <c r="AC72" s="3">
        <f t="shared" si="29"/>
        <v>6984.6206560272</v>
      </c>
      <c r="AD72" s="3">
        <f t="shared" si="30"/>
      </c>
      <c r="AE72" s="3">
        <f t="shared" si="31"/>
        <v>2438.027964839683</v>
      </c>
      <c r="AF72" s="3">
        <f t="shared" si="32"/>
        <v>2899.276498728272</v>
      </c>
      <c r="AG72" s="3">
        <f t="shared" si="33"/>
        <v>3558.2029757119703</v>
      </c>
      <c r="AH72" s="3"/>
      <c r="AI72">
        <f t="shared" si="38"/>
        <v>87</v>
      </c>
      <c r="AJ72" s="3">
        <f>IF(ISNUMBER(HLOOKUP(listkey,$V$3:$AG$94,ROWS($A$3:C72),FALSE)),HLOOKUP(listkey,$V$3:$AG$94,ROWS($A$3:C72),FALSE)+CODE(LEFT($AK72))/1000+CODE(MID($AK72,2,1))/10000+CODE(RIGHT($AK72))/5000,"")</f>
        <v>6851.631007676493</v>
      </c>
      <c r="AK72" t="str">
        <f t="shared" si="35"/>
        <v>South Africa</v>
      </c>
      <c r="AL72" s="3">
        <f>IF(ISNUMBER(HLOOKUP(AL$3,$V$3:$AG$94,ROWS($A$3:C72),FALSE)),HLOOKUP(AL$3,$V$3:$AG$94,ROWS($A$3:C72),FALSE)+CODE(LEFT($AK72))/1000,"")</f>
      </c>
      <c r="AM72" s="3">
        <f>IF(ISNUMBER(HLOOKUP(AM$3,$V$3:$AG$94,ROWS($A$3:D72),FALSE)),HLOOKUP(AM$3,$V$3:$AG$94,ROWS($A$3:D72),FALSE)+CODE(LEFT($AK72))/1000,"")</f>
        <v>6851.600507676493</v>
      </c>
      <c r="AN72" s="3">
        <f>IF(ISNUMBER(HLOOKUP(AN$3,$V$3:$AG$94,ROWS($A$3:E72),FALSE)),HLOOKUP(AN$3,$V$3:$AG$94,ROWS($A$3:E72),FALSE)+CODE(LEFT($AK72))/1000,"")</f>
        <v>8697.912496184816</v>
      </c>
      <c r="AO72" s="3">
        <f>IF(ISNUMBER(HLOOKUP(AO$3,$V$3:$AG$94,ROWS($A$3:F72),FALSE)),HLOOKUP(AO$3,$V$3:$AG$94,ROWS($A$3:F72),FALSE)+CODE(LEFT($AK72))/1000,"")</f>
        <v>10121.193686469604</v>
      </c>
      <c r="AP72" s="3" t="b">
        <f t="shared" si="36"/>
        <v>0</v>
      </c>
    </row>
    <row r="73" spans="1:42" ht="12.75">
      <c r="A73" t="b">
        <f t="shared" si="37"/>
        <v>0</v>
      </c>
      <c r="B73" t="s">
        <v>1364</v>
      </c>
      <c r="C73" t="s">
        <v>1251</v>
      </c>
      <c r="D73">
        <f t="shared" si="21"/>
        <v>1</v>
      </c>
      <c r="F73">
        <v>10200.192</v>
      </c>
      <c r="G73">
        <v>11816.064</v>
      </c>
      <c r="H73">
        <v>13835.903999999999</v>
      </c>
      <c r="J73">
        <v>7574.4</v>
      </c>
      <c r="K73">
        <v>8483.328</v>
      </c>
      <c r="L73">
        <v>9998.207999999999</v>
      </c>
      <c r="N73">
        <v>2979.2639999999997</v>
      </c>
      <c r="O73">
        <v>3534.72</v>
      </c>
      <c r="P73">
        <v>3938.6879999999996</v>
      </c>
      <c r="Q73" s="45">
        <v>39563</v>
      </c>
      <c r="T73" s="4">
        <f t="shared" si="22"/>
        <v>1</v>
      </c>
      <c r="V73" s="3">
        <f t="shared" si="34"/>
      </c>
      <c r="W73" s="3">
        <f t="shared" si="23"/>
        <v>10200.192</v>
      </c>
      <c r="X73" s="3">
        <f t="shared" si="24"/>
        <v>11816.064</v>
      </c>
      <c r="Y73" s="3">
        <f t="shared" si="25"/>
        <v>13835.903999999999</v>
      </c>
      <c r="Z73" s="3">
        <f t="shared" si="26"/>
      </c>
      <c r="AA73" s="3">
        <f t="shared" si="27"/>
        <v>7574.4</v>
      </c>
      <c r="AB73" s="3">
        <f t="shared" si="28"/>
        <v>8483.328</v>
      </c>
      <c r="AC73" s="3">
        <f t="shared" si="29"/>
        <v>9998.207999999999</v>
      </c>
      <c r="AD73" s="3">
        <f t="shared" si="30"/>
      </c>
      <c r="AE73" s="3">
        <f t="shared" si="31"/>
        <v>2979.2639999999997</v>
      </c>
      <c r="AF73" s="3">
        <f t="shared" si="32"/>
        <v>3534.72</v>
      </c>
      <c r="AG73" s="3">
        <f t="shared" si="33"/>
        <v>3938.6879999999996</v>
      </c>
      <c r="AH73" s="3"/>
      <c r="AI73">
        <f t="shared" si="38"/>
        <v>62</v>
      </c>
      <c r="AJ73" s="3">
        <f>IF(ISNUMBER(HLOOKUP(listkey,$V$3:$AG$94,ROWS($A$3:C73),FALSE)),HLOOKUP(listkey,$V$3:$AG$94,ROWS($A$3:C73),FALSE)+CODE(LEFT($AK73))/1000+CODE(MID($AK73,2,1))/10000+CODE(RIGHT($AK73))/5000,"")</f>
        <v>10200.305499999999</v>
      </c>
      <c r="AK73" t="str">
        <f t="shared" si="35"/>
        <v>South America</v>
      </c>
      <c r="AL73" s="3">
        <f>IF(ISNUMBER(HLOOKUP(AL$3,$V$3:$AG$94,ROWS($A$3:C73),FALSE)),HLOOKUP(AL$3,$V$3:$AG$94,ROWS($A$3:C73),FALSE)+CODE(LEFT($AK73))/1000,"")</f>
      </c>
      <c r="AM73" s="3">
        <f>IF(ISNUMBER(HLOOKUP(AM$3,$V$3:$AG$94,ROWS($A$3:D73),FALSE)),HLOOKUP(AM$3,$V$3:$AG$94,ROWS($A$3:D73),FALSE)+CODE(LEFT($AK73))/1000,"")</f>
        <v>10200.275</v>
      </c>
      <c r="AN73" s="3">
        <f>IF(ISNUMBER(HLOOKUP(AN$3,$V$3:$AG$94,ROWS($A$3:E73),FALSE)),HLOOKUP(AN$3,$V$3:$AG$94,ROWS($A$3:E73),FALSE)+CODE(LEFT($AK73))/1000,"")</f>
        <v>11816.147</v>
      </c>
      <c r="AO73" s="3">
        <f>IF(ISNUMBER(HLOOKUP(AO$3,$V$3:$AG$94,ROWS($A$3:F73),FALSE)),HLOOKUP(AO$3,$V$3:$AG$94,ROWS($A$3:F73),FALSE)+CODE(LEFT($AK73))/1000,"")</f>
        <v>13835.987</v>
      </c>
      <c r="AP73" s="3" t="b">
        <f t="shared" si="36"/>
        <v>0</v>
      </c>
    </row>
    <row r="74" spans="1:42" ht="12.75">
      <c r="A74" t="b">
        <f t="shared" si="37"/>
        <v>0</v>
      </c>
      <c r="B74" t="s">
        <v>1299</v>
      </c>
      <c r="C74" t="s">
        <v>1308</v>
      </c>
      <c r="D74">
        <f t="shared" si="21"/>
        <v>0.6429</v>
      </c>
      <c r="E74">
        <v>8199</v>
      </c>
      <c r="F74">
        <v>9099</v>
      </c>
      <c r="G74">
        <v>10299</v>
      </c>
      <c r="H74">
        <v>11499</v>
      </c>
      <c r="I74">
        <v>4999</v>
      </c>
      <c r="J74">
        <v>5899</v>
      </c>
      <c r="K74">
        <v>6599</v>
      </c>
      <c r="L74">
        <v>7599</v>
      </c>
      <c r="M74">
        <v>1949</v>
      </c>
      <c r="N74">
        <v>2349</v>
      </c>
      <c r="O74">
        <v>2849</v>
      </c>
      <c r="P74">
        <v>3299</v>
      </c>
      <c r="Q74" s="45">
        <v>39563</v>
      </c>
      <c r="T74" s="4">
        <f t="shared" si="22"/>
        <v>0.6429</v>
      </c>
      <c r="V74" s="3">
        <f t="shared" si="34"/>
        <v>12753.149790013998</v>
      </c>
      <c r="W74" s="3">
        <f t="shared" si="23"/>
        <v>14153.056462902472</v>
      </c>
      <c r="X74" s="3">
        <f t="shared" si="24"/>
        <v>16019.598693420437</v>
      </c>
      <c r="Y74" s="3">
        <f t="shared" si="25"/>
        <v>17886.140923938405</v>
      </c>
      <c r="Z74" s="3">
        <f t="shared" si="26"/>
        <v>7775.703841966091</v>
      </c>
      <c r="AA74" s="3">
        <f t="shared" si="27"/>
        <v>9175.610514854565</v>
      </c>
      <c r="AB74" s="3">
        <f t="shared" si="28"/>
        <v>10264.426815990044</v>
      </c>
      <c r="AC74" s="3">
        <f t="shared" si="29"/>
        <v>11819.878674755017</v>
      </c>
      <c r="AD74" s="3">
        <f t="shared" si="30"/>
        <v>3031.575672732929</v>
      </c>
      <c r="AE74" s="3">
        <f t="shared" si="31"/>
        <v>3653.756416238917</v>
      </c>
      <c r="AF74" s="3">
        <f t="shared" si="32"/>
        <v>4431.482345621403</v>
      </c>
      <c r="AG74" s="3">
        <f t="shared" si="33"/>
        <v>5131.435682065639</v>
      </c>
      <c r="AH74" s="3"/>
      <c r="AI74">
        <f t="shared" si="38"/>
        <v>13</v>
      </c>
      <c r="AJ74" s="3">
        <f>IF(ISNUMBER(HLOOKUP(listkey,$V$3:$AG$94,ROWS($A$3:C74),FALSE)),HLOOKUP(listkey,$V$3:$AG$94,ROWS($A$3:C74),FALSE)+CODE(LEFT($AK74))/1000+CODE(MID($AK74,2,1))/10000+CODE(RIGHT($AK74))/5000,"")</f>
        <v>14153.172662902474</v>
      </c>
      <c r="AK74" t="str">
        <f t="shared" si="35"/>
        <v>Spain</v>
      </c>
      <c r="AL74" s="3">
        <f>IF(ISNUMBER(HLOOKUP(AL$3,$V$3:$AG$94,ROWS($A$3:C74),FALSE)),HLOOKUP(AL$3,$V$3:$AG$94,ROWS($A$3:C74),FALSE)+CODE(LEFT($AK74))/1000,"")</f>
        <v>12753.232790013999</v>
      </c>
      <c r="AM74" s="3">
        <f>IF(ISNUMBER(HLOOKUP(AM$3,$V$3:$AG$94,ROWS($A$3:D74),FALSE)),HLOOKUP(AM$3,$V$3:$AG$94,ROWS($A$3:D74),FALSE)+CODE(LEFT($AK74))/1000,"")</f>
        <v>14153.139462902473</v>
      </c>
      <c r="AN74" s="3">
        <f>IF(ISNUMBER(HLOOKUP(AN$3,$V$3:$AG$94,ROWS($A$3:E74),FALSE)),HLOOKUP(AN$3,$V$3:$AG$94,ROWS($A$3:E74),FALSE)+CODE(LEFT($AK74))/1000,"")</f>
        <v>16019.681693420438</v>
      </c>
      <c r="AO74" s="3">
        <f>IF(ISNUMBER(HLOOKUP(AO$3,$V$3:$AG$94,ROWS($A$3:F74),FALSE)),HLOOKUP(AO$3,$V$3:$AG$94,ROWS($A$3:F74),FALSE)+CODE(LEFT($AK74))/1000,"")</f>
        <v>17886.223923938403</v>
      </c>
      <c r="AP74" s="3" t="b">
        <f t="shared" si="36"/>
        <v>0</v>
      </c>
    </row>
    <row r="75" spans="1:42" ht="12.75">
      <c r="A75" t="b">
        <f t="shared" si="37"/>
        <v>0</v>
      </c>
      <c r="B75" t="s">
        <v>1359</v>
      </c>
      <c r="C75" t="s">
        <v>1278</v>
      </c>
      <c r="D75">
        <f t="shared" si="21"/>
        <v>108</v>
      </c>
      <c r="E75">
        <v>1149461.2068965517</v>
      </c>
      <c r="F75">
        <v>1272952.5862068965</v>
      </c>
      <c r="G75">
        <v>1435237.0689655172</v>
      </c>
      <c r="H75">
        <v>1621767.2413793104</v>
      </c>
      <c r="I75">
        <v>673491.3793103448</v>
      </c>
      <c r="J75">
        <v>767995.6896551724</v>
      </c>
      <c r="K75">
        <v>883081.8965517242</v>
      </c>
      <c r="L75">
        <v>1005603.448275862</v>
      </c>
      <c r="M75">
        <v>302909.4827586207</v>
      </c>
      <c r="N75">
        <v>361530.1724137931</v>
      </c>
      <c r="O75">
        <v>415948.275862069</v>
      </c>
      <c r="P75">
        <v>479525.8620689655</v>
      </c>
      <c r="Q75" s="45">
        <v>39563</v>
      </c>
      <c r="T75" s="4">
        <f t="shared" si="22"/>
        <v>108</v>
      </c>
      <c r="V75" s="3">
        <f t="shared" si="34"/>
        <v>10643.159323116219</v>
      </c>
      <c r="W75" s="3">
        <f t="shared" si="23"/>
        <v>11786.598020434227</v>
      </c>
      <c r="X75" s="3">
        <f t="shared" si="24"/>
        <v>13289.232120051085</v>
      </c>
      <c r="Y75" s="3">
        <f t="shared" si="25"/>
        <v>15016.363346104727</v>
      </c>
      <c r="Z75" s="3">
        <f t="shared" si="26"/>
        <v>6236.0312899106</v>
      </c>
      <c r="AA75" s="3">
        <f t="shared" si="27"/>
        <v>7111.071200510855</v>
      </c>
      <c r="AB75" s="3">
        <f t="shared" si="28"/>
        <v>8176.684227330779</v>
      </c>
      <c r="AC75" s="3">
        <f t="shared" si="29"/>
        <v>9311.143039591316</v>
      </c>
      <c r="AD75" s="3">
        <f t="shared" si="30"/>
        <v>2804.717432950192</v>
      </c>
      <c r="AE75" s="3">
        <f t="shared" si="31"/>
        <v>3347.50159642401</v>
      </c>
      <c r="AF75" s="3">
        <f t="shared" si="32"/>
        <v>3851.372924648787</v>
      </c>
      <c r="AG75" s="3">
        <f t="shared" si="33"/>
        <v>4440.054278416347</v>
      </c>
      <c r="AH75" s="3"/>
      <c r="AI75">
        <f t="shared" si="38"/>
        <v>50</v>
      </c>
      <c r="AJ75" s="3">
        <f>IF(ISNUMBER(HLOOKUP(listkey,$V$3:$AG$94,ROWS($A$3:C75),FALSE)),HLOOKUP(listkey,$V$3:$AG$94,ROWS($A$3:C75),FALSE)+CODE(LEFT($AK75))/1000+CODE(MID($AK75,2,1))/10000+CODE(RIGHT($AK75))/5000,"")</f>
        <v>11786.711820434226</v>
      </c>
      <c r="AK75" t="str">
        <f t="shared" si="35"/>
        <v>Sri Lanka</v>
      </c>
      <c r="AL75" s="3">
        <f>IF(ISNUMBER(HLOOKUP(AL$3,$V$3:$AG$94,ROWS($A$3:C75),FALSE)),HLOOKUP(AL$3,$V$3:$AG$94,ROWS($A$3:C75),FALSE)+CODE(LEFT($AK75))/1000,"")</f>
        <v>10643.24232311622</v>
      </c>
      <c r="AM75" s="3">
        <f>IF(ISNUMBER(HLOOKUP(AM$3,$V$3:$AG$94,ROWS($A$3:D75),FALSE)),HLOOKUP(AM$3,$V$3:$AG$94,ROWS($A$3:D75),FALSE)+CODE(LEFT($AK75))/1000,"")</f>
        <v>11786.681020434227</v>
      </c>
      <c r="AN75" s="3">
        <f>IF(ISNUMBER(HLOOKUP(AN$3,$V$3:$AG$94,ROWS($A$3:E75),FALSE)),HLOOKUP(AN$3,$V$3:$AG$94,ROWS($A$3:E75),FALSE)+CODE(LEFT($AK75))/1000,"")</f>
        <v>13289.315120051086</v>
      </c>
      <c r="AO75" s="3">
        <f>IF(ISNUMBER(HLOOKUP(AO$3,$V$3:$AG$94,ROWS($A$3:F75),FALSE)),HLOOKUP(AO$3,$V$3:$AG$94,ROWS($A$3:F75),FALSE)+CODE(LEFT($AK75))/1000,"")</f>
        <v>15016.446346104727</v>
      </c>
      <c r="AP75" s="3" t="b">
        <f t="shared" si="36"/>
        <v>0</v>
      </c>
    </row>
    <row r="76" spans="1:42" ht="12.75">
      <c r="A76" t="b">
        <f t="shared" si="37"/>
        <v>0</v>
      </c>
      <c r="B76" t="s">
        <v>1302</v>
      </c>
      <c r="C76" t="s">
        <v>1324</v>
      </c>
      <c r="D76">
        <f t="shared" si="21"/>
        <v>6.0283</v>
      </c>
      <c r="E76">
        <v>62026.30005977286</v>
      </c>
      <c r="F76">
        <v>69420.2032277346</v>
      </c>
      <c r="G76">
        <v>80800.95636580992</v>
      </c>
      <c r="H76">
        <v>90890.61566049013</v>
      </c>
      <c r="I76">
        <v>39653.31739390317</v>
      </c>
      <c r="J76">
        <v>44907.35206216378</v>
      </c>
      <c r="K76">
        <v>53436.93962940825</v>
      </c>
      <c r="L76">
        <v>58828.451882845184</v>
      </c>
      <c r="M76">
        <v>15672.444710101614</v>
      </c>
      <c r="N76">
        <v>19533.77166766288</v>
      </c>
      <c r="O76">
        <v>23329.34847579199</v>
      </c>
      <c r="P76">
        <v>26909.742976688583</v>
      </c>
      <c r="Q76" s="45">
        <v>39563</v>
      </c>
      <c r="T76" s="4">
        <f t="shared" si="22"/>
        <v>6.0283</v>
      </c>
      <c r="V76" s="3">
        <f t="shared" si="34"/>
        <v>10289.186015920386</v>
      </c>
      <c r="W76" s="3">
        <f t="shared" si="23"/>
        <v>11515.718067736278</v>
      </c>
      <c r="X76" s="3">
        <f t="shared" si="24"/>
        <v>13403.605720652577</v>
      </c>
      <c r="Y76" s="3">
        <f t="shared" si="25"/>
        <v>15077.321244876688</v>
      </c>
      <c r="Z76" s="3">
        <f t="shared" si="26"/>
        <v>6577.860656222015</v>
      </c>
      <c r="AA76" s="3">
        <f t="shared" si="27"/>
        <v>7449.422235483267</v>
      </c>
      <c r="AB76" s="3">
        <f t="shared" si="28"/>
        <v>8864.346437537655</v>
      </c>
      <c r="AC76" s="3">
        <f t="shared" si="29"/>
        <v>9758.713382354093</v>
      </c>
      <c r="AD76" s="3">
        <f t="shared" si="30"/>
        <v>2599.8116732912454</v>
      </c>
      <c r="AE76" s="3">
        <f t="shared" si="31"/>
        <v>3240.344984102132</v>
      </c>
      <c r="AF76" s="3">
        <f t="shared" si="32"/>
        <v>3869.9713809518425</v>
      </c>
      <c r="AG76" s="3">
        <f t="shared" si="33"/>
        <v>4463.902423019522</v>
      </c>
      <c r="AH76" s="3"/>
      <c r="AI76">
        <f t="shared" si="38"/>
        <v>51</v>
      </c>
      <c r="AJ76" s="3">
        <f>IF(ISNUMBER(HLOOKUP(listkey,$V$3:$AG$94,ROWS($A$3:C76),FALSE)),HLOOKUP(listkey,$V$3:$AG$94,ROWS($A$3:C76),FALSE)+CODE(LEFT($AK76))/1000+CODE(MID($AK76,2,1))/10000+CODE(RIGHT($AK76))/5000,"")</f>
        <v>11515.834967736278</v>
      </c>
      <c r="AK76" t="str">
        <f t="shared" si="35"/>
        <v>Sweden</v>
      </c>
      <c r="AL76" s="3">
        <f>IF(ISNUMBER(HLOOKUP(AL$3,$V$3:$AG$94,ROWS($A$3:C76),FALSE)),HLOOKUP(AL$3,$V$3:$AG$94,ROWS($A$3:C76),FALSE)+CODE(LEFT($AK76))/1000,"")</f>
        <v>10289.269015920387</v>
      </c>
      <c r="AM76" s="3">
        <f>IF(ISNUMBER(HLOOKUP(AM$3,$V$3:$AG$94,ROWS($A$3:D76),FALSE)),HLOOKUP(AM$3,$V$3:$AG$94,ROWS($A$3:D76),FALSE)+CODE(LEFT($AK76))/1000,"")</f>
        <v>11515.801067736278</v>
      </c>
      <c r="AN76" s="3">
        <f>IF(ISNUMBER(HLOOKUP(AN$3,$V$3:$AG$94,ROWS($A$3:E76),FALSE)),HLOOKUP(AN$3,$V$3:$AG$94,ROWS($A$3:E76),FALSE)+CODE(LEFT($AK76))/1000,"")</f>
        <v>13403.688720652577</v>
      </c>
      <c r="AO76" s="3">
        <f>IF(ISNUMBER(HLOOKUP(AO$3,$V$3:$AG$94,ROWS($A$3:F76),FALSE)),HLOOKUP(AO$3,$V$3:$AG$94,ROWS($A$3:F76),FALSE)+CODE(LEFT($AK76))/1000,"")</f>
        <v>15077.404244876689</v>
      </c>
      <c r="AP76" s="3" t="b">
        <f t="shared" si="36"/>
        <v>0</v>
      </c>
    </row>
    <row r="77" spans="1:42" ht="12.75">
      <c r="A77" t="b">
        <f t="shared" si="37"/>
        <v>0</v>
      </c>
      <c r="B77" t="s">
        <v>1305</v>
      </c>
      <c r="C77" t="s">
        <v>1325</v>
      </c>
      <c r="D77">
        <f t="shared" si="21"/>
        <v>1.0411</v>
      </c>
      <c r="E77">
        <v>11800</v>
      </c>
      <c r="F77">
        <v>13550</v>
      </c>
      <c r="G77">
        <v>15600</v>
      </c>
      <c r="H77">
        <v>17100</v>
      </c>
      <c r="I77">
        <v>7650</v>
      </c>
      <c r="J77">
        <v>8700</v>
      </c>
      <c r="K77">
        <v>9900</v>
      </c>
      <c r="L77">
        <v>10900</v>
      </c>
      <c r="M77">
        <v>3070</v>
      </c>
      <c r="N77">
        <v>3650</v>
      </c>
      <c r="O77">
        <v>4190</v>
      </c>
      <c r="P77">
        <v>4990</v>
      </c>
      <c r="Q77" s="45">
        <v>39563</v>
      </c>
      <c r="T77" s="4">
        <f t="shared" si="22"/>
        <v>1.0411</v>
      </c>
      <c r="V77" s="3">
        <f t="shared" si="34"/>
        <v>11334.165786187687</v>
      </c>
      <c r="W77" s="3">
        <f t="shared" si="23"/>
        <v>13015.080203630776</v>
      </c>
      <c r="X77" s="3">
        <f t="shared" si="24"/>
        <v>14984.151378349823</v>
      </c>
      <c r="Y77" s="3">
        <f t="shared" si="25"/>
        <v>16424.935164729613</v>
      </c>
      <c r="Z77" s="3">
        <f t="shared" si="26"/>
        <v>7347.997310536933</v>
      </c>
      <c r="AA77" s="3">
        <f t="shared" si="27"/>
        <v>8356.545961002786</v>
      </c>
      <c r="AB77" s="3">
        <f t="shared" si="28"/>
        <v>9509.17299010662</v>
      </c>
      <c r="AC77" s="3">
        <f t="shared" si="29"/>
        <v>10469.695514359813</v>
      </c>
      <c r="AD77" s="3">
        <f t="shared" si="30"/>
        <v>2948.804149457305</v>
      </c>
      <c r="AE77" s="3">
        <f t="shared" si="31"/>
        <v>3505.907213524157</v>
      </c>
      <c r="AF77" s="3">
        <f t="shared" si="32"/>
        <v>4024.589376620882</v>
      </c>
      <c r="AG77" s="3">
        <f t="shared" si="33"/>
        <v>4793.007396023437</v>
      </c>
      <c r="AH77" s="3"/>
      <c r="AI77">
        <f t="shared" si="38"/>
        <v>31</v>
      </c>
      <c r="AJ77" s="3">
        <f>IF(ISNUMBER(HLOOKUP(listkey,$V$3:$AG$94,ROWS($A$3:C77),FALSE)),HLOOKUP(listkey,$V$3:$AG$94,ROWS($A$3:C77),FALSE)+CODE(LEFT($AK77))/1000+CODE(MID($AK77,2,1))/10000+CODE(RIGHT($AK77))/5000,"")</f>
        <v>13015.195103630776</v>
      </c>
      <c r="AK77" t="str">
        <f t="shared" si="35"/>
        <v>Switzerland</v>
      </c>
      <c r="AL77" s="3">
        <f>IF(ISNUMBER(HLOOKUP(AL$3,$V$3:$AG$94,ROWS($A$3:C77),FALSE)),HLOOKUP(AL$3,$V$3:$AG$94,ROWS($A$3:C77),FALSE)+CODE(LEFT($AK77))/1000,"")</f>
        <v>11334.248786187687</v>
      </c>
      <c r="AM77" s="3">
        <f>IF(ISNUMBER(HLOOKUP(AM$3,$V$3:$AG$94,ROWS($A$3:D77),FALSE)),HLOOKUP(AM$3,$V$3:$AG$94,ROWS($A$3:D77),FALSE)+CODE(LEFT($AK77))/1000,"")</f>
        <v>13015.163203630776</v>
      </c>
      <c r="AN77" s="3">
        <f>IF(ISNUMBER(HLOOKUP(AN$3,$V$3:$AG$94,ROWS($A$3:E77),FALSE)),HLOOKUP(AN$3,$V$3:$AG$94,ROWS($A$3:E77),FALSE)+CODE(LEFT($AK77))/1000,"")</f>
        <v>14984.234378349824</v>
      </c>
      <c r="AO77" s="3">
        <f>IF(ISNUMBER(HLOOKUP(AO$3,$V$3:$AG$94,ROWS($A$3:F77),FALSE)),HLOOKUP(AO$3,$V$3:$AG$94,ROWS($A$3:F77),FALSE)+CODE(LEFT($AK77))/1000,"")</f>
        <v>16425.018164729612</v>
      </c>
      <c r="AP77" s="3" t="b">
        <f t="shared" si="36"/>
        <v>0</v>
      </c>
    </row>
    <row r="78" spans="1:42" ht="12.75">
      <c r="A78" t="b">
        <f t="shared" si="37"/>
        <v>1</v>
      </c>
      <c r="B78" t="s">
        <v>1037</v>
      </c>
      <c r="C78" t="s">
        <v>1350</v>
      </c>
      <c r="D78">
        <f t="shared" si="21"/>
        <v>51.698</v>
      </c>
      <c r="E78">
        <v>402000</v>
      </c>
      <c r="F78">
        <v>462375</v>
      </c>
      <c r="G78">
        <v>542750</v>
      </c>
      <c r="H78">
        <v>650100</v>
      </c>
      <c r="I78">
        <v>283000</v>
      </c>
      <c r="J78">
        <v>322400</v>
      </c>
      <c r="K78">
        <v>366500</v>
      </c>
      <c r="L78">
        <v>513000</v>
      </c>
      <c r="M78">
        <v>130000</v>
      </c>
      <c r="N78">
        <v>151000</v>
      </c>
      <c r="O78">
        <v>172000</v>
      </c>
      <c r="P78">
        <v>194000</v>
      </c>
      <c r="Q78" s="45">
        <v>39123</v>
      </c>
      <c r="T78" s="4">
        <f t="shared" si="22"/>
        <v>51.698</v>
      </c>
      <c r="V78" s="3">
        <f t="shared" si="34"/>
        <v>7775.929436341831</v>
      </c>
      <c r="W78" s="3">
        <f t="shared" si="23"/>
        <v>8943.769584896902</v>
      </c>
      <c r="X78" s="3">
        <f t="shared" si="24"/>
        <v>10498.471894464003</v>
      </c>
      <c r="Y78" s="3">
        <f t="shared" si="25"/>
        <v>12574.954543696082</v>
      </c>
      <c r="Z78" s="3">
        <f t="shared" si="26"/>
        <v>5474.099578320244</v>
      </c>
      <c r="AA78" s="3">
        <f t="shared" si="27"/>
        <v>6236.218035513946</v>
      </c>
      <c r="AB78" s="3">
        <f t="shared" si="28"/>
        <v>7089.249100545476</v>
      </c>
      <c r="AC78" s="3">
        <f t="shared" si="29"/>
        <v>9923.014429958606</v>
      </c>
      <c r="AD78" s="3">
        <f t="shared" si="30"/>
        <v>2514.6040465782044</v>
      </c>
      <c r="AE78" s="3">
        <f t="shared" si="31"/>
        <v>2920.809315640837</v>
      </c>
      <c r="AF78" s="3">
        <f t="shared" si="32"/>
        <v>3327.01458470347</v>
      </c>
      <c r="AG78" s="3">
        <f t="shared" si="33"/>
        <v>3752.5629618167045</v>
      </c>
      <c r="AH78" s="3"/>
      <c r="AI78">
        <f t="shared" si="38"/>
        <v>82</v>
      </c>
      <c r="AJ78" s="3">
        <f>IF(ISNUMBER(HLOOKUP(listkey,$V$3:$AG$94,ROWS($A$3:C78),FALSE)),HLOOKUP(listkey,$V$3:$AG$94,ROWS($A$3:C78),FALSE)+CODE(LEFT($AK78))/1000+CODE(MID($AK78,2,1))/10000+CODE(RIGHT($AK78))/5000,"")</f>
        <v>8943.884484896902</v>
      </c>
      <c r="AK78" t="str">
        <f t="shared" si="35"/>
        <v>Syrian Arab Republic</v>
      </c>
      <c r="AL78" s="3">
        <f>IF(ISNUMBER(HLOOKUP(AL$3,$V$3:$AG$94,ROWS($A$3:C78),FALSE)),HLOOKUP(AL$3,$V$3:$AG$94,ROWS($A$3:C78),FALSE)+CODE(LEFT($AK78))/1000,"")</f>
        <v>7776.012436341831</v>
      </c>
      <c r="AM78" s="3">
        <f>IF(ISNUMBER(HLOOKUP(AM$3,$V$3:$AG$94,ROWS($A$3:D78),FALSE)),HLOOKUP(AM$3,$V$3:$AG$94,ROWS($A$3:D78),FALSE)+CODE(LEFT($AK78))/1000,"")</f>
        <v>8943.852584896902</v>
      </c>
      <c r="AN78" s="3">
        <f>IF(ISNUMBER(HLOOKUP(AN$3,$V$3:$AG$94,ROWS($A$3:E78),FALSE)),HLOOKUP(AN$3,$V$3:$AG$94,ROWS($A$3:E78),FALSE)+CODE(LEFT($AK78))/1000,"")</f>
        <v>10498.554894464003</v>
      </c>
      <c r="AO78" s="3">
        <f>IF(ISNUMBER(HLOOKUP(AO$3,$V$3:$AG$94,ROWS($A$3:F78),FALSE)),HLOOKUP(AO$3,$V$3:$AG$94,ROWS($A$3:F78),FALSE)+CODE(LEFT($AK78))/1000,"")</f>
        <v>12575.037543696082</v>
      </c>
      <c r="AP78" s="3" t="b">
        <f t="shared" si="36"/>
        <v>1</v>
      </c>
    </row>
    <row r="79" spans="1:42" ht="12.75">
      <c r="A79" t="b">
        <f t="shared" si="37"/>
        <v>0</v>
      </c>
      <c r="B79" t="s">
        <v>1261</v>
      </c>
      <c r="C79" t="s">
        <v>1279</v>
      </c>
      <c r="D79">
        <f t="shared" si="21"/>
        <v>30.4934</v>
      </c>
      <c r="E79">
        <v>300806</v>
      </c>
      <c r="F79">
        <v>343376</v>
      </c>
      <c r="G79">
        <v>394878</v>
      </c>
      <c r="H79">
        <v>445698</v>
      </c>
      <c r="I79">
        <v>210100</v>
      </c>
      <c r="J79">
        <v>238249</v>
      </c>
      <c r="K79">
        <v>273988</v>
      </c>
      <c r="L79">
        <v>315095</v>
      </c>
      <c r="M79">
        <v>89198</v>
      </c>
      <c r="N79">
        <v>107027</v>
      </c>
      <c r="O79">
        <v>123092</v>
      </c>
      <c r="P79">
        <v>141561</v>
      </c>
      <c r="Q79" s="45">
        <v>39563</v>
      </c>
      <c r="T79" s="4">
        <f t="shared" si="22"/>
        <v>30.4934</v>
      </c>
      <c r="V79" s="3">
        <f t="shared" si="34"/>
        <v>9864.626443755042</v>
      </c>
      <c r="W79" s="3">
        <f t="shared" si="23"/>
        <v>11260.66624253117</v>
      </c>
      <c r="X79" s="3">
        <f t="shared" si="24"/>
        <v>12949.621885391593</v>
      </c>
      <c r="Y79" s="3">
        <f t="shared" si="25"/>
        <v>14616.212032767746</v>
      </c>
      <c r="Z79" s="3">
        <f t="shared" si="26"/>
        <v>6890.015544347301</v>
      </c>
      <c r="AA79" s="3">
        <f t="shared" si="27"/>
        <v>7813.133333770586</v>
      </c>
      <c r="AB79" s="3">
        <f t="shared" si="28"/>
        <v>8985.157443905893</v>
      </c>
      <c r="AC79" s="3">
        <f t="shared" si="29"/>
        <v>10333.219647530284</v>
      </c>
      <c r="AD79" s="3">
        <f t="shared" si="30"/>
        <v>2925.157575081821</v>
      </c>
      <c r="AE79" s="3">
        <f t="shared" si="31"/>
        <v>3509.8414738927113</v>
      </c>
      <c r="AF79" s="3">
        <f t="shared" si="32"/>
        <v>4036.6767890756687</v>
      </c>
      <c r="AG79" s="3">
        <f t="shared" si="33"/>
        <v>4642.348836141591</v>
      </c>
      <c r="AH79" s="3"/>
      <c r="AI79">
        <f t="shared" si="38"/>
        <v>53</v>
      </c>
      <c r="AJ79" s="3">
        <f>IF(ISNUMBER(HLOOKUP(listkey,$V$3:$AG$94,ROWS($A$3:C79),FALSE)),HLOOKUP(listkey,$V$3:$AG$94,ROWS($A$3:C79),FALSE)+CODE(LEFT($AK79))/1000+CODE(MID($AK79,2,1))/10000+CODE(RIGHT($AK79))/5000,"")</f>
        <v>11260.781942531172</v>
      </c>
      <c r="AK79" t="str">
        <f t="shared" si="35"/>
        <v>Taiwan</v>
      </c>
      <c r="AL79" s="3">
        <f>IF(ISNUMBER(HLOOKUP(AL$3,$V$3:$AG$94,ROWS($A$3:C79),FALSE)),HLOOKUP(AL$3,$V$3:$AG$94,ROWS($A$3:C79),FALSE)+CODE(LEFT($AK79))/1000,"")</f>
        <v>9864.710443755042</v>
      </c>
      <c r="AM79" s="3">
        <f>IF(ISNUMBER(HLOOKUP(AM$3,$V$3:$AG$94,ROWS($A$3:D79),FALSE)),HLOOKUP(AM$3,$V$3:$AG$94,ROWS($A$3:D79),FALSE)+CODE(LEFT($AK79))/1000,"")</f>
        <v>11260.75024253117</v>
      </c>
      <c r="AN79" s="3">
        <f>IF(ISNUMBER(HLOOKUP(AN$3,$V$3:$AG$94,ROWS($A$3:E79),FALSE)),HLOOKUP(AN$3,$V$3:$AG$94,ROWS($A$3:E79),FALSE)+CODE(LEFT($AK79))/1000,"")</f>
        <v>12949.705885391593</v>
      </c>
      <c r="AO79" s="3">
        <f>IF(ISNUMBER(HLOOKUP(AO$3,$V$3:$AG$94,ROWS($A$3:F79),FALSE)),HLOOKUP(AO$3,$V$3:$AG$94,ROWS($A$3:F79),FALSE)+CODE(LEFT($AK79))/1000,"")</f>
        <v>14616.296032767747</v>
      </c>
      <c r="AP79" s="3" t="b">
        <f t="shared" si="36"/>
        <v>0</v>
      </c>
    </row>
    <row r="80" spans="1:42" ht="12.75">
      <c r="A80" t="b">
        <f t="shared" si="37"/>
        <v>1</v>
      </c>
      <c r="B80" t="s">
        <v>1579</v>
      </c>
      <c r="C80" t="s">
        <v>1251</v>
      </c>
      <c r="D80">
        <f t="shared" si="21"/>
        <v>1</v>
      </c>
      <c r="E80" t="s">
        <v>987</v>
      </c>
      <c r="F80">
        <v>9400</v>
      </c>
      <c r="G80">
        <v>10100</v>
      </c>
      <c r="H80">
        <v>11300</v>
      </c>
      <c r="I80" t="s">
        <v>987</v>
      </c>
      <c r="J80">
        <v>7000</v>
      </c>
      <c r="K80">
        <v>7600</v>
      </c>
      <c r="L80">
        <v>8200</v>
      </c>
      <c r="M80" t="s">
        <v>987</v>
      </c>
      <c r="N80">
        <v>3200</v>
      </c>
      <c r="O80">
        <v>3600</v>
      </c>
      <c r="P80">
        <v>4200</v>
      </c>
      <c r="Q80" s="45">
        <v>39123</v>
      </c>
      <c r="T80" s="4">
        <f t="shared" si="22"/>
        <v>1</v>
      </c>
      <c r="V80" s="3">
        <f t="shared" si="34"/>
      </c>
      <c r="W80" s="3">
        <f t="shared" si="23"/>
        <v>9400</v>
      </c>
      <c r="X80" s="3">
        <f t="shared" si="24"/>
        <v>10100</v>
      </c>
      <c r="Y80" s="3">
        <f t="shared" si="25"/>
        <v>11300</v>
      </c>
      <c r="Z80" s="3">
        <f t="shared" si="26"/>
      </c>
      <c r="AA80" s="3">
        <f t="shared" si="27"/>
        <v>7000</v>
      </c>
      <c r="AB80" s="3">
        <f t="shared" si="28"/>
        <v>7600</v>
      </c>
      <c r="AC80" s="3">
        <f t="shared" si="29"/>
        <v>8200</v>
      </c>
      <c r="AD80" s="3">
        <f t="shared" si="30"/>
      </c>
      <c r="AE80" s="3">
        <f t="shared" si="31"/>
        <v>3200</v>
      </c>
      <c r="AF80" s="3">
        <f t="shared" si="32"/>
        <v>3600</v>
      </c>
      <c r="AG80" s="3">
        <f t="shared" si="33"/>
        <v>4200</v>
      </c>
      <c r="AH80" s="3"/>
      <c r="AI80">
        <f t="shared" si="38"/>
        <v>71</v>
      </c>
      <c r="AJ80" s="3">
        <f>IF(ISNUMBER(HLOOKUP(listkey,$V$3:$AG$94,ROWS($A$3:C80),FALSE)),HLOOKUP(listkey,$V$3:$AG$94,ROWS($A$3:C80),FALSE)+CODE(LEFT($AK80))/1000+CODE(MID($AK80,2,1))/10000+CODE(RIGHT($AK80))/5000,"")</f>
        <v>9400.1131</v>
      </c>
      <c r="AK80" t="str">
        <f t="shared" si="35"/>
        <v>Tanzania</v>
      </c>
      <c r="AL80" s="3">
        <f>IF(ISNUMBER(HLOOKUP(AL$3,$V$3:$AG$94,ROWS($A$3:C80),FALSE)),HLOOKUP(AL$3,$V$3:$AG$94,ROWS($A$3:C80),FALSE)+CODE(LEFT($AK80))/1000,"")</f>
      </c>
      <c r="AM80" s="3">
        <f>IF(ISNUMBER(HLOOKUP(AM$3,$V$3:$AG$94,ROWS($A$3:D80),FALSE)),HLOOKUP(AM$3,$V$3:$AG$94,ROWS($A$3:D80),FALSE)+CODE(LEFT($AK80))/1000,"")</f>
        <v>9400.084</v>
      </c>
      <c r="AN80" s="3">
        <f>IF(ISNUMBER(HLOOKUP(AN$3,$V$3:$AG$94,ROWS($A$3:E80),FALSE)),HLOOKUP(AN$3,$V$3:$AG$94,ROWS($A$3:E80),FALSE)+CODE(LEFT($AK80))/1000,"")</f>
        <v>10100.084</v>
      </c>
      <c r="AO80" s="3">
        <f>IF(ISNUMBER(HLOOKUP(AO$3,$V$3:$AG$94,ROWS($A$3:F80),FALSE)),HLOOKUP(AO$3,$V$3:$AG$94,ROWS($A$3:F80),FALSE)+CODE(LEFT($AK80))/1000,"")</f>
        <v>11300.084</v>
      </c>
      <c r="AP80" s="3" t="b">
        <f t="shared" si="36"/>
        <v>1</v>
      </c>
    </row>
    <row r="81" spans="1:42" ht="12.75">
      <c r="A81" t="b">
        <f t="shared" si="37"/>
        <v>0</v>
      </c>
      <c r="B81" t="s">
        <v>1280</v>
      </c>
      <c r="C81" t="s">
        <v>1281</v>
      </c>
      <c r="D81">
        <f t="shared" si="21"/>
        <v>31.9102</v>
      </c>
      <c r="E81">
        <v>337210</v>
      </c>
      <c r="F81">
        <v>383510</v>
      </c>
      <c r="G81">
        <v>431300</v>
      </c>
      <c r="H81">
        <v>480900</v>
      </c>
      <c r="I81">
        <v>221270</v>
      </c>
      <c r="J81">
        <v>257395</v>
      </c>
      <c r="K81">
        <v>296535</v>
      </c>
      <c r="L81">
        <v>316230</v>
      </c>
      <c r="M81">
        <v>93770</v>
      </c>
      <c r="N81">
        <v>112680</v>
      </c>
      <c r="O81">
        <v>129580</v>
      </c>
      <c r="P81">
        <v>152220</v>
      </c>
      <c r="Q81" s="45">
        <v>39563</v>
      </c>
      <c r="T81" s="4">
        <f t="shared" si="22"/>
        <v>31.9102</v>
      </c>
      <c r="V81" s="3">
        <f t="shared" si="34"/>
        <v>10567.467455547128</v>
      </c>
      <c r="W81" s="3">
        <f t="shared" si="23"/>
        <v>12018.41417477797</v>
      </c>
      <c r="X81" s="3">
        <f t="shared" si="24"/>
        <v>13516.05442773784</v>
      </c>
      <c r="Y81" s="3">
        <f t="shared" si="25"/>
        <v>15070.41635589874</v>
      </c>
      <c r="Z81" s="3">
        <f t="shared" si="26"/>
        <v>6934.146448471022</v>
      </c>
      <c r="AA81" s="3">
        <f t="shared" si="27"/>
        <v>8066.229606834178</v>
      </c>
      <c r="AB81" s="3">
        <f t="shared" si="28"/>
        <v>9292.79666062889</v>
      </c>
      <c r="AC81" s="3">
        <f t="shared" si="29"/>
        <v>9909.997430288748</v>
      </c>
      <c r="AD81" s="3">
        <f t="shared" si="30"/>
        <v>2938.5588307187045</v>
      </c>
      <c r="AE81" s="3">
        <f t="shared" si="31"/>
        <v>3531.159315830048</v>
      </c>
      <c r="AF81" s="3">
        <f t="shared" si="32"/>
        <v>4060.7705373203553</v>
      </c>
      <c r="AG81" s="3">
        <f t="shared" si="33"/>
        <v>4770.261546464767</v>
      </c>
      <c r="AH81" s="3"/>
      <c r="AI81">
        <f t="shared" si="38"/>
        <v>44</v>
      </c>
      <c r="AJ81" s="3">
        <f>IF(ISNUMBER(HLOOKUP(listkey,$V$3:$AG$94,ROWS($A$3:C81),FALSE)),HLOOKUP(listkey,$V$3:$AG$94,ROWS($A$3:C81),FALSE)+CODE(LEFT($AK81))/1000+CODE(MID($AK81,2,1))/10000+CODE(RIGHT($AK81))/5000,"")</f>
        <v>12018.52857477797</v>
      </c>
      <c r="AK81" t="str">
        <f t="shared" si="35"/>
        <v>Thailand</v>
      </c>
      <c r="AL81" s="3">
        <f>IF(ISNUMBER(HLOOKUP(AL$3,$V$3:$AG$94,ROWS($A$3:C81),FALSE)),HLOOKUP(AL$3,$V$3:$AG$94,ROWS($A$3:C81),FALSE)+CODE(LEFT($AK81))/1000,"")</f>
        <v>10567.551455547129</v>
      </c>
      <c r="AM81" s="3">
        <f>IF(ISNUMBER(HLOOKUP(AM$3,$V$3:$AG$94,ROWS($A$3:D81),FALSE)),HLOOKUP(AM$3,$V$3:$AG$94,ROWS($A$3:D81),FALSE)+CODE(LEFT($AK81))/1000,"")</f>
        <v>12018.498174777971</v>
      </c>
      <c r="AN81" s="3">
        <f>IF(ISNUMBER(HLOOKUP(AN$3,$V$3:$AG$94,ROWS($A$3:E81),FALSE)),HLOOKUP(AN$3,$V$3:$AG$94,ROWS($A$3:E81),FALSE)+CODE(LEFT($AK81))/1000,"")</f>
        <v>13516.13842773784</v>
      </c>
      <c r="AO81" s="3">
        <f>IF(ISNUMBER(HLOOKUP(AO$3,$V$3:$AG$94,ROWS($A$3:F81),FALSE)),HLOOKUP(AO$3,$V$3:$AG$94,ROWS($A$3:F81),FALSE)+CODE(LEFT($AK81))/1000,"")</f>
        <v>15070.500355898741</v>
      </c>
      <c r="AP81" s="3" t="b">
        <f t="shared" si="36"/>
        <v>0</v>
      </c>
    </row>
    <row r="82" spans="1:42" ht="12.75">
      <c r="A82" t="b">
        <f t="shared" si="37"/>
        <v>1</v>
      </c>
      <c r="B82" t="s">
        <v>1326</v>
      </c>
      <c r="C82" t="s">
        <v>1327</v>
      </c>
      <c r="D82">
        <f t="shared" si="21"/>
        <v>1.1822</v>
      </c>
      <c r="E82">
        <v>14600</v>
      </c>
      <c r="F82">
        <v>18500</v>
      </c>
      <c r="G82">
        <v>21000</v>
      </c>
      <c r="H82">
        <v>24000</v>
      </c>
      <c r="I82">
        <v>9800</v>
      </c>
      <c r="J82">
        <v>11200</v>
      </c>
      <c r="K82">
        <v>12800</v>
      </c>
      <c r="L82">
        <v>15000</v>
      </c>
      <c r="M82">
        <v>4200</v>
      </c>
      <c r="N82">
        <v>5000</v>
      </c>
      <c r="O82">
        <v>5700</v>
      </c>
      <c r="P82">
        <v>6700</v>
      </c>
      <c r="Q82" s="45">
        <v>39123</v>
      </c>
      <c r="T82" s="4">
        <f t="shared" si="22"/>
        <v>1.1822</v>
      </c>
      <c r="V82" s="3">
        <f t="shared" si="34"/>
        <v>12349.856200304517</v>
      </c>
      <c r="W82" s="3">
        <f t="shared" si="23"/>
        <v>15648.790390796821</v>
      </c>
      <c r="X82" s="3">
        <f t="shared" si="24"/>
        <v>17763.491794958554</v>
      </c>
      <c r="Y82" s="3">
        <f t="shared" si="25"/>
        <v>20301.13347995263</v>
      </c>
      <c r="Z82" s="3">
        <f t="shared" si="26"/>
        <v>8289.62950431399</v>
      </c>
      <c r="AA82" s="3">
        <f t="shared" si="27"/>
        <v>9473.862290644562</v>
      </c>
      <c r="AB82" s="3">
        <f t="shared" si="28"/>
        <v>10827.27118930807</v>
      </c>
      <c r="AC82" s="3">
        <f t="shared" si="29"/>
        <v>12688.208424970395</v>
      </c>
      <c r="AD82" s="3">
        <f t="shared" si="30"/>
        <v>3552.6983589917104</v>
      </c>
      <c r="AE82" s="3">
        <f t="shared" si="31"/>
        <v>4229.402808323465</v>
      </c>
      <c r="AF82" s="3">
        <f t="shared" si="32"/>
        <v>4821.51920148875</v>
      </c>
      <c r="AG82" s="3">
        <f t="shared" si="33"/>
        <v>5667.399763153443</v>
      </c>
      <c r="AH82" s="3"/>
      <c r="AI82">
        <f t="shared" si="38"/>
        <v>5</v>
      </c>
      <c r="AJ82" s="3">
        <f>IF(ISNUMBER(HLOOKUP(listkey,$V$3:$AG$94,ROWS($A$3:C82),FALSE)),HLOOKUP(listkey,$V$3:$AG$94,ROWS($A$3:C82),FALSE)+CODE(LEFT($AK82))/1000+CODE(MID($AK82,2,1))/10000+CODE(RIGHT($AK82))/5000,"")</f>
        <v>15648.90549079682</v>
      </c>
      <c r="AK82" t="str">
        <f t="shared" si="35"/>
        <v>Tunisia</v>
      </c>
      <c r="AL82" s="3">
        <f>IF(ISNUMBER(HLOOKUP(AL$3,$V$3:$AG$94,ROWS($A$3:C82),FALSE)),HLOOKUP(AL$3,$V$3:$AG$94,ROWS($A$3:C82),FALSE)+CODE(LEFT($AK82))/1000,"")</f>
        <v>12349.940200304518</v>
      </c>
      <c r="AM82" s="3">
        <f>IF(ISNUMBER(HLOOKUP(AM$3,$V$3:$AG$94,ROWS($A$3:D82),FALSE)),HLOOKUP(AM$3,$V$3:$AG$94,ROWS($A$3:D82),FALSE)+CODE(LEFT($AK82))/1000,"")</f>
        <v>15648.874390796822</v>
      </c>
      <c r="AN82" s="3">
        <f>IF(ISNUMBER(HLOOKUP(AN$3,$V$3:$AG$94,ROWS($A$3:E82),FALSE)),HLOOKUP(AN$3,$V$3:$AG$94,ROWS($A$3:E82),FALSE)+CODE(LEFT($AK82))/1000,"")</f>
        <v>17763.575794958553</v>
      </c>
      <c r="AO82" s="3">
        <f>IF(ISNUMBER(HLOOKUP(AO$3,$V$3:$AG$94,ROWS($A$3:F82),FALSE)),HLOOKUP(AO$3,$V$3:$AG$94,ROWS($A$3:F82),FALSE)+CODE(LEFT($AK82))/1000,"")</f>
        <v>20301.21747995263</v>
      </c>
      <c r="AP82" s="3" t="b">
        <f t="shared" si="36"/>
        <v>1</v>
      </c>
    </row>
    <row r="83" spans="1:42" ht="12.75">
      <c r="A83" t="b">
        <f t="shared" si="37"/>
        <v>0</v>
      </c>
      <c r="B83" t="s">
        <v>1328</v>
      </c>
      <c r="C83" t="s">
        <v>1308</v>
      </c>
      <c r="D83">
        <f t="shared" si="21"/>
        <v>0.6429</v>
      </c>
      <c r="E83">
        <v>8350.172656349916</v>
      </c>
      <c r="F83">
        <v>9266.530246834633</v>
      </c>
      <c r="G83">
        <v>10488.553523468474</v>
      </c>
      <c r="H83">
        <v>11710.576800102313</v>
      </c>
      <c r="I83">
        <v>5090.80445069702</v>
      </c>
      <c r="J83">
        <v>6007.801509144391</v>
      </c>
      <c r="K83">
        <v>6720.808287504796</v>
      </c>
      <c r="L83">
        <v>7738.8412840516685</v>
      </c>
      <c r="M83">
        <v>1984.9085560813403</v>
      </c>
      <c r="N83">
        <v>2392.2496482926203</v>
      </c>
      <c r="O83">
        <v>2901.2661465660567</v>
      </c>
      <c r="P83">
        <v>3359.764675789743</v>
      </c>
      <c r="Q83" s="45">
        <v>39563</v>
      </c>
      <c r="T83" s="4">
        <f t="shared" si="22"/>
        <v>0.6429</v>
      </c>
      <c r="V83" s="3">
        <f t="shared" si="34"/>
        <v>12988.291579327913</v>
      </c>
      <c r="W83" s="3">
        <f t="shared" si="23"/>
        <v>14413.641696740757</v>
      </c>
      <c r="X83" s="3">
        <f t="shared" si="24"/>
        <v>16314.440073834925</v>
      </c>
      <c r="Y83" s="3">
        <f t="shared" si="25"/>
        <v>18215.238450929093</v>
      </c>
      <c r="Z83" s="3">
        <f t="shared" si="26"/>
        <v>7918.501245445667</v>
      </c>
      <c r="AA83" s="3">
        <f t="shared" si="27"/>
        <v>9344.846024489641</v>
      </c>
      <c r="AB83" s="3">
        <f t="shared" si="28"/>
        <v>10453.893743202358</v>
      </c>
      <c r="AC83" s="3">
        <f t="shared" si="29"/>
        <v>12037.395059965263</v>
      </c>
      <c r="AD83" s="3">
        <f t="shared" si="30"/>
        <v>3087.429703035216</v>
      </c>
      <c r="AE83" s="3">
        <f t="shared" si="31"/>
        <v>3721.029162066605</v>
      </c>
      <c r="AF83" s="3">
        <f t="shared" si="32"/>
        <v>4512.779820448058</v>
      </c>
      <c r="AG83" s="3">
        <f t="shared" si="33"/>
        <v>5225.952209970046</v>
      </c>
      <c r="AH83" s="3"/>
      <c r="AI83">
        <f t="shared" si="38"/>
        <v>10</v>
      </c>
      <c r="AJ83" s="3">
        <f>IF(ISNUMBER(HLOOKUP(listkey,$V$3:$AG$94,ROWS($A$3:C83),FALSE)),HLOOKUP(listkey,$V$3:$AG$94,ROWS($A$3:C83),FALSE)+CODE(LEFT($AK83))/1000+CODE(MID($AK83,2,1))/10000+CODE(RIGHT($AK83))/5000,"")</f>
        <v>14413.761596740756</v>
      </c>
      <c r="AK83" t="str">
        <f t="shared" si="35"/>
        <v>Turkey</v>
      </c>
      <c r="AL83" s="3">
        <f>IF(ISNUMBER(HLOOKUP(AL$3,$V$3:$AG$94,ROWS($A$3:C83),FALSE)),HLOOKUP(AL$3,$V$3:$AG$94,ROWS($A$3:C83),FALSE)+CODE(LEFT($AK83))/1000,"")</f>
        <v>12988.375579327914</v>
      </c>
      <c r="AM83" s="3">
        <f>IF(ISNUMBER(HLOOKUP(AM$3,$V$3:$AG$94,ROWS($A$3:D83),FALSE)),HLOOKUP(AM$3,$V$3:$AG$94,ROWS($A$3:D83),FALSE)+CODE(LEFT($AK83))/1000,"")</f>
        <v>14413.725696740757</v>
      </c>
      <c r="AN83" s="3">
        <f>IF(ISNUMBER(HLOOKUP(AN$3,$V$3:$AG$94,ROWS($A$3:E83),FALSE)),HLOOKUP(AN$3,$V$3:$AG$94,ROWS($A$3:E83),FALSE)+CODE(LEFT($AK83))/1000,"")</f>
        <v>16314.524073834926</v>
      </c>
      <c r="AO83" s="3">
        <f>IF(ISNUMBER(HLOOKUP(AO$3,$V$3:$AG$94,ROWS($A$3:F83),FALSE)),HLOOKUP(AO$3,$V$3:$AG$94,ROWS($A$3:F83),FALSE)+CODE(LEFT($AK83))/1000,"")</f>
        <v>18215.322450929092</v>
      </c>
      <c r="AP83" s="3" t="b">
        <f t="shared" si="36"/>
        <v>0</v>
      </c>
    </row>
    <row r="84" spans="1:42" ht="12.75">
      <c r="A84" t="b">
        <f t="shared" si="37"/>
        <v>1</v>
      </c>
      <c r="B84" t="s">
        <v>1581</v>
      </c>
      <c r="C84" t="s">
        <v>1251</v>
      </c>
      <c r="D84">
        <f t="shared" si="21"/>
        <v>1</v>
      </c>
      <c r="E84" t="s">
        <v>987</v>
      </c>
      <c r="F84">
        <v>9400</v>
      </c>
      <c r="G84">
        <v>10100</v>
      </c>
      <c r="H84">
        <v>11300</v>
      </c>
      <c r="I84" t="s">
        <v>987</v>
      </c>
      <c r="J84">
        <v>7000</v>
      </c>
      <c r="K84">
        <v>7600</v>
      </c>
      <c r="L84">
        <v>8200</v>
      </c>
      <c r="M84" t="s">
        <v>987</v>
      </c>
      <c r="N84">
        <v>3200</v>
      </c>
      <c r="O84">
        <v>3600</v>
      </c>
      <c r="P84">
        <v>4200</v>
      </c>
      <c r="Q84" s="45">
        <v>39123</v>
      </c>
      <c r="T84" s="4">
        <f t="shared" si="22"/>
        <v>1</v>
      </c>
      <c r="V84" s="3">
        <f t="shared" si="34"/>
      </c>
      <c r="W84" s="3">
        <f t="shared" si="23"/>
        <v>9400</v>
      </c>
      <c r="X84" s="3">
        <f t="shared" si="24"/>
        <v>10100</v>
      </c>
      <c r="Y84" s="3">
        <f t="shared" si="25"/>
        <v>11300</v>
      </c>
      <c r="Z84" s="3">
        <f t="shared" si="26"/>
      </c>
      <c r="AA84" s="3">
        <f t="shared" si="27"/>
        <v>7000</v>
      </c>
      <c r="AB84" s="3">
        <f t="shared" si="28"/>
        <v>7600</v>
      </c>
      <c r="AC84" s="3">
        <f t="shared" si="29"/>
        <v>8200</v>
      </c>
      <c r="AD84" s="3">
        <f t="shared" si="30"/>
      </c>
      <c r="AE84" s="3">
        <f t="shared" si="31"/>
        <v>3200</v>
      </c>
      <c r="AF84" s="3">
        <f t="shared" si="32"/>
        <v>3600</v>
      </c>
      <c r="AG84" s="3">
        <f t="shared" si="33"/>
        <v>4200</v>
      </c>
      <c r="AH84" s="3"/>
      <c r="AI84">
        <f t="shared" si="38"/>
        <v>70</v>
      </c>
      <c r="AJ84" s="3">
        <f>IF(ISNUMBER(HLOOKUP(listkey,$V$3:$AG$94,ROWS($A$3:C84),FALSE)),HLOOKUP(listkey,$V$3:$AG$94,ROWS($A$3:C84),FALSE)+CODE(LEFT($AK84))/1000+CODE(MID($AK84,2,1))/10000+CODE(RIGHT($AK84))/5000,"")</f>
        <v>9400.114699999998</v>
      </c>
      <c r="AK84" t="str">
        <f t="shared" si="35"/>
        <v>Uganda</v>
      </c>
      <c r="AL84" s="3">
        <f>IF(ISNUMBER(HLOOKUP(AL$3,$V$3:$AG$94,ROWS($A$3:C84),FALSE)),HLOOKUP(AL$3,$V$3:$AG$94,ROWS($A$3:C84),FALSE)+CODE(LEFT($AK84))/1000,"")</f>
      </c>
      <c r="AM84" s="3">
        <f>IF(ISNUMBER(HLOOKUP(AM$3,$V$3:$AG$94,ROWS($A$3:D84),FALSE)),HLOOKUP(AM$3,$V$3:$AG$94,ROWS($A$3:D84),FALSE)+CODE(LEFT($AK84))/1000,"")</f>
        <v>9400.085</v>
      </c>
      <c r="AN84" s="3">
        <f>IF(ISNUMBER(HLOOKUP(AN$3,$V$3:$AG$94,ROWS($A$3:E84),FALSE)),HLOOKUP(AN$3,$V$3:$AG$94,ROWS($A$3:E84),FALSE)+CODE(LEFT($AK84))/1000,"")</f>
        <v>10100.085</v>
      </c>
      <c r="AO84" s="3">
        <f>IF(ISNUMBER(HLOOKUP(AO$3,$V$3:$AG$94,ROWS($A$3:F84),FALSE)),HLOOKUP(AO$3,$V$3:$AG$94,ROWS($A$3:F84),FALSE)+CODE(LEFT($AK84))/1000,"")</f>
        <v>11300.085</v>
      </c>
      <c r="AP84" s="3" t="b">
        <f t="shared" si="36"/>
        <v>1</v>
      </c>
    </row>
    <row r="85" spans="1:42" ht="12.75">
      <c r="A85" t="b">
        <f t="shared" si="37"/>
        <v>1</v>
      </c>
      <c r="B85" t="s">
        <v>1329</v>
      </c>
      <c r="C85" t="s">
        <v>1251</v>
      </c>
      <c r="D85">
        <f t="shared" si="21"/>
        <v>1</v>
      </c>
      <c r="E85">
        <v>8650</v>
      </c>
      <c r="F85">
        <v>9300</v>
      </c>
      <c r="G85">
        <v>10900</v>
      </c>
      <c r="H85">
        <v>11900</v>
      </c>
      <c r="I85">
        <v>5850</v>
      </c>
      <c r="J85">
        <v>6500</v>
      </c>
      <c r="K85">
        <v>7550</v>
      </c>
      <c r="L85">
        <v>8700</v>
      </c>
      <c r="M85">
        <v>2750</v>
      </c>
      <c r="N85">
        <v>3100</v>
      </c>
      <c r="O85">
        <v>3650</v>
      </c>
      <c r="P85">
        <v>4150</v>
      </c>
      <c r="Q85" s="45">
        <v>39563</v>
      </c>
      <c r="T85" s="4">
        <f t="shared" si="22"/>
        <v>1</v>
      </c>
      <c r="V85" s="3">
        <f t="shared" si="34"/>
        <v>8650</v>
      </c>
      <c r="W85" s="3">
        <f t="shared" si="23"/>
        <v>9300</v>
      </c>
      <c r="X85" s="3">
        <f t="shared" si="24"/>
        <v>10900</v>
      </c>
      <c r="Y85" s="3">
        <f t="shared" si="25"/>
        <v>11900</v>
      </c>
      <c r="Z85" s="3">
        <f t="shared" si="26"/>
        <v>5850</v>
      </c>
      <c r="AA85" s="3">
        <f t="shared" si="27"/>
        <v>6500</v>
      </c>
      <c r="AB85" s="3">
        <f t="shared" si="28"/>
        <v>7550</v>
      </c>
      <c r="AC85" s="3">
        <f t="shared" si="29"/>
        <v>8700</v>
      </c>
      <c r="AD85" s="3">
        <f t="shared" si="30"/>
        <v>2750</v>
      </c>
      <c r="AE85" s="3">
        <f t="shared" si="31"/>
        <v>3100</v>
      </c>
      <c r="AF85" s="3">
        <f t="shared" si="32"/>
        <v>3650</v>
      </c>
      <c r="AG85" s="3">
        <f t="shared" si="33"/>
        <v>4150</v>
      </c>
      <c r="AH85" s="3"/>
      <c r="AI85">
        <f t="shared" si="38"/>
        <v>78</v>
      </c>
      <c r="AJ85" s="3">
        <f>IF(ISNUMBER(HLOOKUP(listkey,$V$3:$AG$94,ROWS($A$3:C85),FALSE)),HLOOKUP(listkey,$V$3:$AG$94,ROWS($A$3:C85),FALSE)+CODE(LEFT($AK85))/1000+CODE(MID($AK85,2,1))/10000+CODE(RIGHT($AK85))/5000,"")</f>
        <v>9300.1159</v>
      </c>
      <c r="AK85" t="str">
        <f t="shared" si="35"/>
        <v>Ukraine</v>
      </c>
      <c r="AL85" s="3">
        <f>IF(ISNUMBER(HLOOKUP(AL$3,$V$3:$AG$94,ROWS($A$3:C85),FALSE)),HLOOKUP(AL$3,$V$3:$AG$94,ROWS($A$3:C85),FALSE)+CODE(LEFT($AK85))/1000,"")</f>
        <v>8650.085</v>
      </c>
      <c r="AM85" s="3">
        <f>IF(ISNUMBER(HLOOKUP(AM$3,$V$3:$AG$94,ROWS($A$3:D85),FALSE)),HLOOKUP(AM$3,$V$3:$AG$94,ROWS($A$3:D85),FALSE)+CODE(LEFT($AK85))/1000,"")</f>
        <v>9300.085</v>
      </c>
      <c r="AN85" s="3">
        <f>IF(ISNUMBER(HLOOKUP(AN$3,$V$3:$AG$94,ROWS($A$3:E85),FALSE)),HLOOKUP(AN$3,$V$3:$AG$94,ROWS($A$3:E85),FALSE)+CODE(LEFT($AK85))/1000,"")</f>
        <v>10900.085</v>
      </c>
      <c r="AO85" s="3">
        <f>IF(ISNUMBER(HLOOKUP(AO$3,$V$3:$AG$94,ROWS($A$3:F85),FALSE)),HLOOKUP(AO$3,$V$3:$AG$94,ROWS($A$3:F85),FALSE)+CODE(LEFT($AK85))/1000,"")</f>
        <v>11900.085</v>
      </c>
      <c r="AP85" s="3" t="b">
        <f t="shared" si="36"/>
        <v>1</v>
      </c>
    </row>
    <row r="86" spans="1:42" ht="12.75">
      <c r="A86" t="b">
        <f t="shared" si="37"/>
        <v>0</v>
      </c>
      <c r="B86" t="s">
        <v>1365</v>
      </c>
      <c r="C86" t="s">
        <v>1351</v>
      </c>
      <c r="D86">
        <f t="shared" si="21"/>
        <v>3.6748</v>
      </c>
      <c r="E86">
        <v>40630</v>
      </c>
      <c r="F86">
        <v>45130</v>
      </c>
      <c r="G86">
        <v>50880</v>
      </c>
      <c r="H86">
        <v>56630</v>
      </c>
      <c r="I86">
        <v>27380</v>
      </c>
      <c r="J86">
        <v>31240</v>
      </c>
      <c r="K86">
        <v>35880</v>
      </c>
      <c r="L86">
        <v>40000</v>
      </c>
      <c r="M86">
        <v>10500</v>
      </c>
      <c r="N86">
        <v>11900</v>
      </c>
      <c r="O86">
        <v>13900</v>
      </c>
      <c r="P86">
        <v>15400</v>
      </c>
      <c r="Q86" s="45">
        <v>39563</v>
      </c>
      <c r="T86" s="4">
        <f t="shared" si="22"/>
        <v>3.6748</v>
      </c>
      <c r="V86" s="3">
        <f t="shared" si="34"/>
        <v>11056.384020899097</v>
      </c>
      <c r="W86" s="3">
        <f t="shared" si="23"/>
        <v>12280.940459344727</v>
      </c>
      <c r="X86" s="3">
        <f t="shared" si="24"/>
        <v>13845.651464025254</v>
      </c>
      <c r="Y86" s="3">
        <f t="shared" si="25"/>
        <v>15410.36246870578</v>
      </c>
      <c r="Z86" s="3">
        <f t="shared" si="26"/>
        <v>7450.745618809187</v>
      </c>
      <c r="AA86" s="3">
        <f t="shared" si="27"/>
        <v>8501.14291934255</v>
      </c>
      <c r="AB86" s="3">
        <f t="shared" si="28"/>
        <v>9763.796669206487</v>
      </c>
      <c r="AC86" s="3">
        <f t="shared" si="29"/>
        <v>10884.94611951671</v>
      </c>
      <c r="AD86" s="3">
        <f t="shared" si="30"/>
        <v>2857.298356373136</v>
      </c>
      <c r="AE86" s="3">
        <f t="shared" si="31"/>
        <v>3238.2714705562207</v>
      </c>
      <c r="AF86" s="3">
        <f t="shared" si="32"/>
        <v>3782.518776532056</v>
      </c>
      <c r="AG86" s="3">
        <f t="shared" si="33"/>
        <v>4190.7042560139325</v>
      </c>
      <c r="AH86" s="3"/>
      <c r="AI86">
        <f t="shared" si="38"/>
        <v>37</v>
      </c>
      <c r="AJ86" s="3">
        <f>IF(ISNUMBER(HLOOKUP(listkey,$V$3:$AG$94,ROWS($A$3:C86),FALSE)),HLOOKUP(listkey,$V$3:$AG$94,ROWS($A$3:C86),FALSE)+CODE(LEFT($AK86))/1000+CODE(MID($AK86,2,1))/10000+CODE(RIGHT($AK86))/5000,"")</f>
        <v>12281.059459344726</v>
      </c>
      <c r="AK86" t="str">
        <f t="shared" si="35"/>
        <v>United Arab Emirates</v>
      </c>
      <c r="AL86" s="3">
        <f>IF(ISNUMBER(HLOOKUP(AL$3,$V$3:$AG$94,ROWS($A$3:C86),FALSE)),HLOOKUP(AL$3,$V$3:$AG$94,ROWS($A$3:C86),FALSE)+CODE(LEFT($AK86))/1000,"")</f>
        <v>11056.469020899096</v>
      </c>
      <c r="AM86" s="3">
        <f>IF(ISNUMBER(HLOOKUP(AM$3,$V$3:$AG$94,ROWS($A$3:D86),FALSE)),HLOOKUP(AM$3,$V$3:$AG$94,ROWS($A$3:D86),FALSE)+CODE(LEFT($AK86))/1000,"")</f>
        <v>12281.025459344726</v>
      </c>
      <c r="AN86" s="3">
        <f>IF(ISNUMBER(HLOOKUP(AN$3,$V$3:$AG$94,ROWS($A$3:E86),FALSE)),HLOOKUP(AN$3,$V$3:$AG$94,ROWS($A$3:E86),FALSE)+CODE(LEFT($AK86))/1000,"")</f>
        <v>13845.736464025253</v>
      </c>
      <c r="AO86" s="3">
        <f>IF(ISNUMBER(HLOOKUP(AO$3,$V$3:$AG$94,ROWS($A$3:F86),FALSE)),HLOOKUP(AO$3,$V$3:$AG$94,ROWS($A$3:F86),FALSE)+CODE(LEFT($AK86))/1000,"")</f>
        <v>15410.44746870578</v>
      </c>
      <c r="AP86" s="3" t="b">
        <f t="shared" si="36"/>
        <v>0</v>
      </c>
    </row>
    <row r="87" spans="1:42" ht="12.75">
      <c r="A87" t="b">
        <f t="shared" si="37"/>
        <v>1</v>
      </c>
      <c r="B87" t="s">
        <v>1469</v>
      </c>
      <c r="C87" t="s">
        <v>1330</v>
      </c>
      <c r="D87">
        <f t="shared" si="21"/>
        <v>0.5043</v>
      </c>
      <c r="E87">
        <v>6529</v>
      </c>
      <c r="F87">
        <v>7399</v>
      </c>
      <c r="G87">
        <v>8449</v>
      </c>
      <c r="H87">
        <v>8849</v>
      </c>
      <c r="I87">
        <v>3869</v>
      </c>
      <c r="J87">
        <v>4549</v>
      </c>
      <c r="K87">
        <v>5169</v>
      </c>
      <c r="L87">
        <v>5599</v>
      </c>
      <c r="M87">
        <v>1289</v>
      </c>
      <c r="N87">
        <v>1449</v>
      </c>
      <c r="O87">
        <v>1829</v>
      </c>
      <c r="P87">
        <v>2049</v>
      </c>
      <c r="Q87" s="45">
        <v>39563</v>
      </c>
      <c r="T87" s="4">
        <f t="shared" si="22"/>
        <v>0.5043</v>
      </c>
      <c r="V87" s="3">
        <f t="shared" si="34"/>
        <v>12946.658734880033</v>
      </c>
      <c r="W87" s="3">
        <f t="shared" si="23"/>
        <v>14671.822327979378</v>
      </c>
      <c r="X87" s="3">
        <f t="shared" si="24"/>
        <v>16753.916319651</v>
      </c>
      <c r="Y87" s="3">
        <f t="shared" si="25"/>
        <v>17547.094983144954</v>
      </c>
      <c r="Z87" s="3">
        <f t="shared" si="26"/>
        <v>7672.020622645251</v>
      </c>
      <c r="AA87" s="3">
        <f t="shared" si="27"/>
        <v>9020.42435058497</v>
      </c>
      <c r="AB87" s="3">
        <f t="shared" si="28"/>
        <v>10249.851279000595</v>
      </c>
      <c r="AC87" s="3">
        <f t="shared" si="29"/>
        <v>11102.518342256593</v>
      </c>
      <c r="AD87" s="3">
        <f t="shared" si="30"/>
        <v>2556.0182431092603</v>
      </c>
      <c r="AE87" s="3">
        <f t="shared" si="31"/>
        <v>2873.289708506841</v>
      </c>
      <c r="AF87" s="3">
        <f t="shared" si="32"/>
        <v>3626.8094388260956</v>
      </c>
      <c r="AG87" s="3">
        <f t="shared" si="33"/>
        <v>4063.057703747769</v>
      </c>
      <c r="AH87" s="3"/>
      <c r="AI87">
        <f t="shared" si="38"/>
        <v>7</v>
      </c>
      <c r="AJ87" s="3">
        <f>IF(ISNUMBER(HLOOKUP(listkey,$V$3:$AG$94,ROWS($A$3:C87),FALSE)),HLOOKUP(listkey,$V$3:$AG$94,ROWS($A$3:C87),FALSE)+CODE(LEFT($AK87))/1000+CODE(MID($AK87,2,1))/10000+CODE(RIGHT($AK87))/5000,"")</f>
        <v>14671.939727979377</v>
      </c>
      <c r="AK87" t="str">
        <f t="shared" si="35"/>
        <v>United Kingdom Peak</v>
      </c>
      <c r="AL87" s="3">
        <f>IF(ISNUMBER(HLOOKUP(AL$3,$V$3:$AG$94,ROWS($A$3:C87),FALSE)),HLOOKUP(AL$3,$V$3:$AG$94,ROWS($A$3:C87),FALSE)+CODE(LEFT($AK87))/1000,"")</f>
        <v>12946.743734880032</v>
      </c>
      <c r="AM87" s="3">
        <f>IF(ISNUMBER(HLOOKUP(AM$3,$V$3:$AG$94,ROWS($A$3:D87),FALSE)),HLOOKUP(AM$3,$V$3:$AG$94,ROWS($A$3:D87),FALSE)+CODE(LEFT($AK87))/1000,"")</f>
        <v>14671.907327979377</v>
      </c>
      <c r="AN87" s="3">
        <f>IF(ISNUMBER(HLOOKUP(AN$3,$V$3:$AG$94,ROWS($A$3:E87),FALSE)),HLOOKUP(AN$3,$V$3:$AG$94,ROWS($A$3:E87),FALSE)+CODE(LEFT($AK87))/1000,"")</f>
        <v>16754.001319651</v>
      </c>
      <c r="AO87" s="3">
        <f>IF(ISNUMBER(HLOOKUP(AO$3,$V$3:$AG$94,ROWS($A$3:F87),FALSE)),HLOOKUP(AO$3,$V$3:$AG$94,ROWS($A$3:F87),FALSE)+CODE(LEFT($AK87))/1000,"")</f>
        <v>17547.179983144953</v>
      </c>
      <c r="AP87" s="3" t="b">
        <f t="shared" si="36"/>
        <v>1</v>
      </c>
    </row>
    <row r="88" spans="1:42" ht="12.75">
      <c r="A88" t="b">
        <f t="shared" si="37"/>
        <v>1</v>
      </c>
      <c r="B88" t="s">
        <v>1468</v>
      </c>
      <c r="C88" t="s">
        <v>1330</v>
      </c>
      <c r="D88">
        <f t="shared" si="21"/>
        <v>0.5043</v>
      </c>
      <c r="E88">
        <v>6529</v>
      </c>
      <c r="F88">
        <v>7399</v>
      </c>
      <c r="G88">
        <v>8449</v>
      </c>
      <c r="H88">
        <v>8849</v>
      </c>
      <c r="I88">
        <v>3869</v>
      </c>
      <c r="J88">
        <v>4549</v>
      </c>
      <c r="K88">
        <v>5169</v>
      </c>
      <c r="L88">
        <v>5599</v>
      </c>
      <c r="M88">
        <v>1179</v>
      </c>
      <c r="N88">
        <v>1389</v>
      </c>
      <c r="O88">
        <v>1709</v>
      </c>
      <c r="P88">
        <v>1929</v>
      </c>
      <c r="Q88" s="45">
        <v>39563</v>
      </c>
      <c r="T88" s="4">
        <f t="shared" si="22"/>
        <v>0.5043</v>
      </c>
      <c r="V88" s="3">
        <f t="shared" si="34"/>
        <v>12946.658734880033</v>
      </c>
      <c r="W88" s="3">
        <f t="shared" si="23"/>
        <v>14671.822327979378</v>
      </c>
      <c r="X88" s="3">
        <f t="shared" si="24"/>
        <v>16753.916319651</v>
      </c>
      <c r="Y88" s="3">
        <f t="shared" si="25"/>
        <v>17547.094983144954</v>
      </c>
      <c r="Z88" s="3">
        <f t="shared" si="26"/>
        <v>7672.020622645251</v>
      </c>
      <c r="AA88" s="3">
        <f t="shared" si="27"/>
        <v>9020.42435058497</v>
      </c>
      <c r="AB88" s="3">
        <f t="shared" si="28"/>
        <v>10249.851279000595</v>
      </c>
      <c r="AC88" s="3">
        <f t="shared" si="29"/>
        <v>11102.518342256593</v>
      </c>
      <c r="AD88" s="3">
        <f t="shared" si="30"/>
        <v>2337.8941106484235</v>
      </c>
      <c r="AE88" s="3">
        <f t="shared" si="31"/>
        <v>2754.3129089827485</v>
      </c>
      <c r="AF88" s="3">
        <f t="shared" si="32"/>
        <v>3388.85583977791</v>
      </c>
      <c r="AG88" s="3">
        <f t="shared" si="33"/>
        <v>3825.104104699584</v>
      </c>
      <c r="AH88" s="3"/>
      <c r="AI88">
        <f t="shared" si="38"/>
        <v>8</v>
      </c>
      <c r="AJ88" s="3">
        <f>IF(ISNUMBER(HLOOKUP(listkey,$V$3:$AG$94,ROWS($A$3:C88),FALSE)),HLOOKUP(listkey,$V$3:$AG$94,ROWS($A$3:C88),FALSE)+CODE(LEFT($AK88))/1000+CODE(MID($AK88,2,1))/10000+CODE(RIGHT($AK88))/5000,"")</f>
        <v>14671.938127979378</v>
      </c>
      <c r="AK88" t="str">
        <f t="shared" si="35"/>
        <v>United Kingdom Basic</v>
      </c>
      <c r="AL88" s="3">
        <f>IF(ISNUMBER(HLOOKUP(AL$3,$V$3:$AG$94,ROWS($A$3:C88),FALSE)),HLOOKUP(AL$3,$V$3:$AG$94,ROWS($A$3:C88),FALSE)+CODE(LEFT($AK88))/1000,"")</f>
        <v>12946.743734880032</v>
      </c>
      <c r="AM88" s="3">
        <f>IF(ISNUMBER(HLOOKUP(AM$3,$V$3:$AG$94,ROWS($A$3:D88),FALSE)),HLOOKUP(AM$3,$V$3:$AG$94,ROWS($A$3:D88),FALSE)+CODE(LEFT($AK88))/1000,"")</f>
        <v>14671.907327979377</v>
      </c>
      <c r="AN88" s="3">
        <f>IF(ISNUMBER(HLOOKUP(AN$3,$V$3:$AG$94,ROWS($A$3:E88),FALSE)),HLOOKUP(AN$3,$V$3:$AG$94,ROWS($A$3:E88),FALSE)+CODE(LEFT($AK88))/1000,"")</f>
        <v>16754.001319651</v>
      </c>
      <c r="AO88" s="3">
        <f>IF(ISNUMBER(HLOOKUP(AO$3,$V$3:$AG$94,ROWS($A$3:F88),FALSE)),HLOOKUP(AO$3,$V$3:$AG$94,ROWS($A$3:F88),FALSE)+CODE(LEFT($AK88))/1000,"")</f>
        <v>17547.179983144953</v>
      </c>
      <c r="AP88" s="3" t="b">
        <f t="shared" si="36"/>
        <v>1</v>
      </c>
    </row>
    <row r="89" spans="1:42" ht="12.75">
      <c r="A89" t="b">
        <f t="shared" si="37"/>
        <v>0</v>
      </c>
      <c r="B89" t="s">
        <v>1466</v>
      </c>
      <c r="C89" t="s">
        <v>1251</v>
      </c>
      <c r="D89">
        <f t="shared" si="21"/>
        <v>1</v>
      </c>
      <c r="E89">
        <v>10600</v>
      </c>
      <c r="F89">
        <v>11400</v>
      </c>
      <c r="G89">
        <v>13100</v>
      </c>
      <c r="H89">
        <v>15400</v>
      </c>
      <c r="I89">
        <v>7500</v>
      </c>
      <c r="J89">
        <v>8300</v>
      </c>
      <c r="K89">
        <v>9500</v>
      </c>
      <c r="L89">
        <v>11100</v>
      </c>
      <c r="M89">
        <v>3900</v>
      </c>
      <c r="N89">
        <v>4100</v>
      </c>
      <c r="O89">
        <v>4900</v>
      </c>
      <c r="P89">
        <v>5500</v>
      </c>
      <c r="Q89" s="45">
        <v>39563</v>
      </c>
      <c r="T89" s="4">
        <f t="shared" si="22"/>
        <v>1</v>
      </c>
      <c r="V89" s="3">
        <f t="shared" si="34"/>
        <v>10600</v>
      </c>
      <c r="W89" s="3">
        <f t="shared" si="23"/>
        <v>11400</v>
      </c>
      <c r="X89" s="3">
        <f t="shared" si="24"/>
        <v>13100</v>
      </c>
      <c r="Y89" s="3">
        <f t="shared" si="25"/>
        <v>15400</v>
      </c>
      <c r="Z89" s="3">
        <f t="shared" si="26"/>
        <v>7500</v>
      </c>
      <c r="AA89" s="3">
        <f t="shared" si="27"/>
        <v>8300</v>
      </c>
      <c r="AB89" s="3">
        <f t="shared" si="28"/>
        <v>9500</v>
      </c>
      <c r="AC89" s="3">
        <f t="shared" si="29"/>
        <v>11100</v>
      </c>
      <c r="AD89" s="3">
        <f t="shared" si="30"/>
        <v>3900</v>
      </c>
      <c r="AE89" s="3">
        <f t="shared" si="31"/>
        <v>4100</v>
      </c>
      <c r="AF89" s="3">
        <f t="shared" si="32"/>
        <v>4900</v>
      </c>
      <c r="AG89" s="3">
        <f t="shared" si="33"/>
        <v>5500</v>
      </c>
      <c r="AH89" s="3"/>
      <c r="AI89">
        <f t="shared" si="38"/>
        <v>52</v>
      </c>
      <c r="AJ89" s="3">
        <f>IF(ISNUMBER(HLOOKUP(listkey,$V$3:$AG$94,ROWS($A$3:C89),FALSE)),HLOOKUP(listkey,$V$3:$AG$94,ROWS($A$3:C89),FALSE)+CODE(LEFT($AK89))/1000+CODE(MID($AK89,2,1))/10000+CODE(RIGHT($AK89))/5000,"")</f>
        <v>11400.108499999998</v>
      </c>
      <c r="AK89" t="str">
        <f t="shared" si="35"/>
        <v>North America</v>
      </c>
      <c r="AL89" s="3">
        <f>IF(ISNUMBER(HLOOKUP(AL$3,$V$3:$AG$94,ROWS($A$3:C89),FALSE)),HLOOKUP(AL$3,$V$3:$AG$94,ROWS($A$3:C89),FALSE)+CODE(LEFT($AK89))/1000,"")</f>
        <v>10600.078</v>
      </c>
      <c r="AM89" s="3">
        <f>IF(ISNUMBER(HLOOKUP(AM$3,$V$3:$AG$94,ROWS($A$3:D89),FALSE)),HLOOKUP(AM$3,$V$3:$AG$94,ROWS($A$3:D89),FALSE)+CODE(LEFT($AK89))/1000,"")</f>
        <v>11400.078</v>
      </c>
      <c r="AN89" s="3">
        <f>IF(ISNUMBER(HLOOKUP(AN$3,$V$3:$AG$94,ROWS($A$3:E89),FALSE)),HLOOKUP(AN$3,$V$3:$AG$94,ROWS($A$3:E89),FALSE)+CODE(LEFT($AK89))/1000,"")</f>
        <v>13100.078</v>
      </c>
      <c r="AO89" s="3">
        <f>IF(ISNUMBER(HLOOKUP(AO$3,$V$3:$AG$94,ROWS($A$3:F89),FALSE)),HLOOKUP(AO$3,$V$3:$AG$94,ROWS($A$3:F89),FALSE)+CODE(LEFT($AK89))/1000,"")</f>
        <v>15400.078</v>
      </c>
      <c r="AP89" s="3" t="b">
        <f t="shared" si="36"/>
        <v>0</v>
      </c>
    </row>
    <row r="90" spans="1:42" ht="12.75">
      <c r="A90" t="b">
        <f t="shared" si="37"/>
        <v>0</v>
      </c>
      <c r="B90" t="s">
        <v>1576</v>
      </c>
      <c r="C90" t="s">
        <v>1251</v>
      </c>
      <c r="D90">
        <f t="shared" si="21"/>
        <v>1</v>
      </c>
      <c r="E90" t="s">
        <v>987</v>
      </c>
      <c r="F90">
        <v>9400</v>
      </c>
      <c r="G90">
        <v>10100</v>
      </c>
      <c r="H90">
        <v>11300</v>
      </c>
      <c r="I90" t="s">
        <v>987</v>
      </c>
      <c r="J90">
        <v>7000</v>
      </c>
      <c r="K90">
        <v>7600</v>
      </c>
      <c r="L90">
        <v>8200</v>
      </c>
      <c r="M90" t="s">
        <v>987</v>
      </c>
      <c r="N90">
        <v>3200</v>
      </c>
      <c r="O90">
        <v>3600</v>
      </c>
      <c r="P90">
        <v>4200</v>
      </c>
      <c r="Q90" s="45">
        <v>39123</v>
      </c>
      <c r="T90" s="4">
        <f t="shared" si="22"/>
        <v>1</v>
      </c>
      <c r="V90" s="3">
        <f t="shared" si="34"/>
      </c>
      <c r="W90" s="3">
        <f t="shared" si="23"/>
        <v>9400</v>
      </c>
      <c r="X90" s="3">
        <f t="shared" si="24"/>
        <v>10100</v>
      </c>
      <c r="Y90" s="3">
        <f t="shared" si="25"/>
        <v>11300</v>
      </c>
      <c r="Z90" s="3">
        <f t="shared" si="26"/>
      </c>
      <c r="AA90" s="3">
        <f t="shared" si="27"/>
        <v>7000</v>
      </c>
      <c r="AB90" s="3">
        <f t="shared" si="28"/>
        <v>7600</v>
      </c>
      <c r="AC90" s="3">
        <f t="shared" si="29"/>
        <v>8200</v>
      </c>
      <c r="AD90" s="3">
        <f t="shared" si="30"/>
      </c>
      <c r="AE90" s="3">
        <f t="shared" si="31"/>
        <v>3200</v>
      </c>
      <c r="AF90" s="3">
        <f t="shared" si="32"/>
        <v>3600</v>
      </c>
      <c r="AG90" s="3">
        <f t="shared" si="33"/>
        <v>4200</v>
      </c>
      <c r="AH90" s="3"/>
      <c r="AI90">
        <f t="shared" si="38"/>
        <v>69</v>
      </c>
      <c r="AJ90" s="3">
        <f>IF(ISNUMBER(HLOOKUP(listkey,$V$3:$AG$94,ROWS($A$3:C90),FALSE)),HLOOKUP(listkey,$V$3:$AG$94,ROWS($A$3:C90),FALSE)+CODE(LEFT($AK90))/1000+CODE(MID($AK90,2,1))/10000+CODE(RIGHT($AK90))/5000,"")</f>
        <v>9400.1191</v>
      </c>
      <c r="AK90" t="str">
        <f t="shared" si="35"/>
        <v>Zambia</v>
      </c>
      <c r="AL90" s="3">
        <f>IF(ISNUMBER(HLOOKUP(AL$3,$V$3:$AG$94,ROWS($A$3:C90),FALSE)),HLOOKUP(AL$3,$V$3:$AG$94,ROWS($A$3:C90),FALSE)+CODE(LEFT($AK90))/1000,"")</f>
      </c>
      <c r="AM90" s="3">
        <f>IF(ISNUMBER(HLOOKUP(AM$3,$V$3:$AG$94,ROWS($A$3:D90),FALSE)),HLOOKUP(AM$3,$V$3:$AG$94,ROWS($A$3:D90),FALSE)+CODE(LEFT($AK90))/1000,"")</f>
        <v>9400.09</v>
      </c>
      <c r="AN90" s="3">
        <f>IF(ISNUMBER(HLOOKUP(AN$3,$V$3:$AG$94,ROWS($A$3:E90),FALSE)),HLOOKUP(AN$3,$V$3:$AG$94,ROWS($A$3:E90),FALSE)+CODE(LEFT($AK90))/1000,"")</f>
        <v>10100.09</v>
      </c>
      <c r="AO90" s="3">
        <f>IF(ISNUMBER(HLOOKUP(AO$3,$V$3:$AG$94,ROWS($A$3:F90),FALSE)),HLOOKUP(AO$3,$V$3:$AG$94,ROWS($A$3:F90),FALSE)+CODE(LEFT($AK90))/1000,"")</f>
        <v>11300.09</v>
      </c>
      <c r="AP90" s="3" t="b">
        <f t="shared" si="36"/>
        <v>0</v>
      </c>
    </row>
    <row r="91" spans="1:42" ht="12.75">
      <c r="A91" t="b">
        <f t="shared" si="37"/>
        <v>0</v>
      </c>
      <c r="B91" t="s">
        <v>1258</v>
      </c>
      <c r="C91" t="s">
        <v>1251</v>
      </c>
      <c r="D91">
        <f t="shared" si="21"/>
        <v>1</v>
      </c>
      <c r="E91" t="s">
        <v>987</v>
      </c>
      <c r="F91">
        <v>9400</v>
      </c>
      <c r="G91">
        <v>10100</v>
      </c>
      <c r="H91">
        <v>11300</v>
      </c>
      <c r="I91" t="s">
        <v>987</v>
      </c>
      <c r="J91">
        <v>7000</v>
      </c>
      <c r="K91">
        <v>7600</v>
      </c>
      <c r="L91">
        <v>8200</v>
      </c>
      <c r="M91" t="s">
        <v>987</v>
      </c>
      <c r="N91">
        <v>3200</v>
      </c>
      <c r="O91">
        <v>3600</v>
      </c>
      <c r="P91">
        <v>4200</v>
      </c>
      <c r="Q91" s="45">
        <v>39123</v>
      </c>
      <c r="T91" s="4">
        <f t="shared" si="22"/>
        <v>1</v>
      </c>
      <c r="V91" s="3">
        <f t="shared" si="34"/>
      </c>
      <c r="W91" s="3">
        <f t="shared" si="23"/>
        <v>9400</v>
      </c>
      <c r="X91" s="3">
        <f t="shared" si="24"/>
        <v>10100</v>
      </c>
      <c r="Y91" s="3">
        <f t="shared" si="25"/>
        <v>11300</v>
      </c>
      <c r="Z91" s="3">
        <f t="shared" si="26"/>
      </c>
      <c r="AA91" s="3">
        <f t="shared" si="27"/>
        <v>7000</v>
      </c>
      <c r="AB91" s="3">
        <f t="shared" si="28"/>
        <v>7600</v>
      </c>
      <c r="AC91" s="3">
        <f t="shared" si="29"/>
        <v>8200</v>
      </c>
      <c r="AD91" s="3">
        <f t="shared" si="30"/>
      </c>
      <c r="AE91" s="3">
        <f t="shared" si="31"/>
        <v>3200</v>
      </c>
      <c r="AF91" s="3">
        <f t="shared" si="32"/>
        <v>3600</v>
      </c>
      <c r="AG91" s="3">
        <f t="shared" si="33"/>
        <v>4200</v>
      </c>
      <c r="AH91" s="3"/>
      <c r="AI91">
        <f t="shared" si="38"/>
        <v>68</v>
      </c>
      <c r="AJ91" s="3">
        <f>IF(ISNUMBER(HLOOKUP(listkey,$V$3:$AG$94,ROWS($A$3:C91),FALSE)),HLOOKUP(listkey,$V$3:$AG$94,ROWS($A$3:C91),FALSE)+CODE(LEFT($AK91))/1000+CODE(MID($AK91,2,1))/10000+CODE(RIGHT($AK91))/5000,"")</f>
        <v>9400.120700000001</v>
      </c>
      <c r="AK91" t="str">
        <f t="shared" si="35"/>
        <v>Zimbabwe</v>
      </c>
      <c r="AL91" s="3">
        <f>IF(ISNUMBER(HLOOKUP(AL$3,$V$3:$AG$94,ROWS($A$3:C91),FALSE)),HLOOKUP(AL$3,$V$3:$AG$94,ROWS($A$3:C91),FALSE)+CODE(LEFT($AK91))/1000,"")</f>
      </c>
      <c r="AM91" s="3">
        <f>IF(ISNUMBER(HLOOKUP(AM$3,$V$3:$AG$94,ROWS($A$3:D91),FALSE)),HLOOKUP(AM$3,$V$3:$AG$94,ROWS($A$3:D91),FALSE)+CODE(LEFT($AK91))/1000,"")</f>
        <v>9400.09</v>
      </c>
      <c r="AN91" s="3">
        <f>IF(ISNUMBER(HLOOKUP(AN$3,$V$3:$AG$94,ROWS($A$3:E91),FALSE)),HLOOKUP(AN$3,$V$3:$AG$94,ROWS($A$3:E91),FALSE)+CODE(LEFT($AK91))/1000,"")</f>
        <v>10100.09</v>
      </c>
      <c r="AO91" s="3">
        <f>IF(ISNUMBER(HLOOKUP(AO$3,$V$3:$AG$94,ROWS($A$3:F91),FALSE)),HLOOKUP(AO$3,$V$3:$AG$94,ROWS($A$3:F91),FALSE)+CODE(LEFT($AK91))/1000,"")</f>
        <v>11300.09</v>
      </c>
      <c r="AP91" s="3" t="b">
        <f t="shared" si="36"/>
        <v>0</v>
      </c>
    </row>
    <row r="92" spans="17:42" ht="12.75">
      <c r="Q92" s="45"/>
      <c r="T92" s="4">
        <f t="shared" si="22"/>
        <v>0</v>
      </c>
      <c r="V92" s="3">
        <f t="shared" si="34"/>
      </c>
      <c r="W92" s="3">
        <f t="shared" si="23"/>
      </c>
      <c r="X92" s="3">
        <f t="shared" si="24"/>
      </c>
      <c r="Y92" s="3">
        <f t="shared" si="25"/>
      </c>
      <c r="Z92" s="3">
        <f t="shared" si="26"/>
      </c>
      <c r="AA92" s="3">
        <f t="shared" si="27"/>
      </c>
      <c r="AB92" s="3">
        <f t="shared" si="28"/>
      </c>
      <c r="AC92" s="3">
        <f t="shared" si="29"/>
      </c>
      <c r="AD92" s="3">
        <f t="shared" si="30"/>
      </c>
      <c r="AE92" s="3">
        <f t="shared" si="31"/>
      </c>
      <c r="AF92" s="3">
        <f t="shared" si="32"/>
      </c>
      <c r="AG92" s="3">
        <f t="shared" si="33"/>
      </c>
      <c r="AH92" s="3"/>
      <c r="AI92">
        <f t="shared" si="38"/>
      </c>
      <c r="AJ92" s="3">
        <f>IF(ISNUMBER(HLOOKUP(listkey,$V$3:$AG$94,ROWS($A$3:C92),FALSE)),HLOOKUP(listkey,$V$3:$AG$94,ROWS($A$3:C92),FALSE)+CODE(LEFT($AK92))/1000+CODE(MID($AK92,2,1))/10000+CODE(RIGHT($AK92))/5000,"")</f>
      </c>
      <c r="AK92">
        <f t="shared" si="35"/>
      </c>
      <c r="AL92" s="3">
        <f>IF(ISNUMBER(HLOOKUP(AL$3,$V$3:$AG$94,ROWS($A$3:C92),FALSE)),HLOOKUP(AL$3,$V$3:$AG$94,ROWS($A$3:C92),FALSE)+CODE(LEFT($AK92))/1000,"")</f>
      </c>
      <c r="AM92" s="3">
        <f>IF(ISNUMBER(HLOOKUP(AM$3,$V$3:$AG$94,ROWS($A$3:D92),FALSE)),HLOOKUP(AM$3,$V$3:$AG$94,ROWS($A$3:D92),FALSE)+CODE(LEFT($AK92))/1000,"")</f>
      </c>
      <c r="AN92" s="3">
        <f>IF(ISNUMBER(HLOOKUP(AN$3,$V$3:$AG$94,ROWS($A$3:E92),FALSE)),HLOOKUP(AN$3,$V$3:$AG$94,ROWS($A$3:E92),FALSE)+CODE(LEFT($AK92))/1000,"")</f>
      </c>
      <c r="AO92" s="3">
        <f>IF(ISNUMBER(HLOOKUP(AO$3,$V$3:$AG$94,ROWS($A$3:F92),FALSE)),HLOOKUP(AO$3,$V$3:$AG$94,ROWS($A$3:F92),FALSE)+CODE(LEFT($AK92))/1000,"")</f>
      </c>
      <c r="AP92" s="3">
        <f t="shared" si="36"/>
        <v>0</v>
      </c>
    </row>
    <row r="93" spans="17:42" ht="12.75">
      <c r="Q93" s="45"/>
      <c r="T93" s="4">
        <f t="shared" si="22"/>
        <v>0</v>
      </c>
      <c r="V93" s="3">
        <f t="shared" si="34"/>
      </c>
      <c r="W93" s="3">
        <f t="shared" si="23"/>
      </c>
      <c r="X93" s="3">
        <f t="shared" si="24"/>
      </c>
      <c r="Y93" s="3">
        <f t="shared" si="25"/>
      </c>
      <c r="Z93" s="3">
        <f t="shared" si="26"/>
      </c>
      <c r="AA93" s="3">
        <f t="shared" si="27"/>
      </c>
      <c r="AB93" s="3">
        <f t="shared" si="28"/>
      </c>
      <c r="AC93" s="3">
        <f t="shared" si="29"/>
      </c>
      <c r="AD93" s="3">
        <f t="shared" si="30"/>
      </c>
      <c r="AE93" s="3">
        <f t="shared" si="31"/>
      </c>
      <c r="AF93" s="3">
        <f t="shared" si="32"/>
      </c>
      <c r="AG93" s="3">
        <f t="shared" si="33"/>
      </c>
      <c r="AH93" s="3"/>
      <c r="AI93">
        <f t="shared" si="38"/>
      </c>
      <c r="AJ93" s="3">
        <f>IF(ISNUMBER(HLOOKUP(listkey,$V$3:$AG$94,ROWS($A$3:C93),FALSE)),HLOOKUP(listkey,$V$3:$AG$94,ROWS($A$3:C93),FALSE)+CODE(LEFT($AK93))/1000+CODE(MID($AK93,2,1))/10000+CODE(RIGHT($AK93))/5000,"")</f>
      </c>
      <c r="AK93">
        <f t="shared" si="35"/>
      </c>
      <c r="AL93" s="3">
        <f>IF(ISNUMBER(HLOOKUP(AL$3,$V$3:$AG$94,ROWS($A$3:C93),FALSE)),HLOOKUP(AL$3,$V$3:$AG$94,ROWS($A$3:C93),FALSE)+CODE(LEFT($AK93))/1000,"")</f>
      </c>
      <c r="AM93" s="3">
        <f>IF(ISNUMBER(HLOOKUP(AM$3,$V$3:$AG$94,ROWS($A$3:D93),FALSE)),HLOOKUP(AM$3,$V$3:$AG$94,ROWS($A$3:D93),FALSE)+CODE(LEFT($AK93))/1000,"")</f>
      </c>
      <c r="AN93" s="3">
        <f>IF(ISNUMBER(HLOOKUP(AN$3,$V$3:$AG$94,ROWS($A$3:E93),FALSE)),HLOOKUP(AN$3,$V$3:$AG$94,ROWS($A$3:E93),FALSE)+CODE(LEFT($AK93))/1000,"")</f>
      </c>
      <c r="AO93" s="3">
        <f>IF(ISNUMBER(HLOOKUP(AO$3,$V$3:$AG$94,ROWS($A$3:F93),FALSE)),HLOOKUP(AO$3,$V$3:$AG$94,ROWS($A$3:F93),FALSE)+CODE(LEFT($AK93))/1000,"")</f>
      </c>
      <c r="AP93" s="3">
        <f t="shared" si="36"/>
        <v>0</v>
      </c>
    </row>
    <row r="94" spans="20:42" ht="12.75">
      <c r="T94" s="4"/>
      <c r="V94" s="3"/>
      <c r="W94" s="3"/>
      <c r="X94" s="3"/>
      <c r="Y94" s="3"/>
      <c r="Z94" s="3"/>
      <c r="AA94" s="3"/>
      <c r="AB94" s="3"/>
      <c r="AC94" s="3"/>
      <c r="AD94" s="3"/>
      <c r="AE94" s="3"/>
      <c r="AF94" s="3"/>
      <c r="AG94" s="3"/>
      <c r="AH94" s="3"/>
      <c r="AJ94" s="3"/>
      <c r="AL94" s="3"/>
      <c r="AM94" s="3"/>
      <c r="AN94" s="3"/>
      <c r="AO94" s="3"/>
      <c r="AP94" s="3"/>
    </row>
    <row r="96" ht="12.75">
      <c r="AJ96" s="3"/>
    </row>
    <row r="97" spans="1:36" ht="12.75">
      <c r="A97" t="str">
        <f>B97&amp;LEFT(D97,4)</f>
        <v>AustraliaAONE</v>
      </c>
      <c r="B97" t="s">
        <v>1028</v>
      </c>
      <c r="C97" t="s">
        <v>1353</v>
      </c>
      <c r="D97" t="s">
        <v>585</v>
      </c>
      <c r="E97">
        <v>0</v>
      </c>
      <c r="F97">
        <v>13539</v>
      </c>
      <c r="G97">
        <v>14539</v>
      </c>
      <c r="H97">
        <v>15539</v>
      </c>
      <c r="AJ97" s="3"/>
    </row>
    <row r="98" spans="1:36" ht="12.75">
      <c r="A98" t="str">
        <f aca="true" t="shared" si="39" ref="A98:A161">B98&amp;LEFT(D98,4)</f>
        <v>AustraliaDONE</v>
      </c>
      <c r="B98" t="s">
        <v>1028</v>
      </c>
      <c r="C98" t="s">
        <v>1353</v>
      </c>
      <c r="D98" t="s">
        <v>586</v>
      </c>
      <c r="E98">
        <v>0</v>
      </c>
      <c r="F98">
        <v>9609</v>
      </c>
      <c r="G98">
        <v>10709</v>
      </c>
      <c r="H98">
        <v>12039</v>
      </c>
      <c r="AJ98" s="3"/>
    </row>
    <row r="99" spans="1:8" ht="12.75">
      <c r="A99" t="str">
        <f t="shared" si="39"/>
        <v>AustraliaLONE</v>
      </c>
      <c r="B99" t="s">
        <v>1028</v>
      </c>
      <c r="C99" t="s">
        <v>1353</v>
      </c>
      <c r="D99" t="s">
        <v>587</v>
      </c>
      <c r="E99">
        <v>0</v>
      </c>
      <c r="F99">
        <v>3239</v>
      </c>
      <c r="G99">
        <v>3739</v>
      </c>
      <c r="H99">
        <v>4279</v>
      </c>
    </row>
    <row r="100" spans="1:8" ht="12.75">
      <c r="A100" t="str">
        <f t="shared" si="39"/>
        <v>AustriaAONE</v>
      </c>
      <c r="B100" t="s">
        <v>1406</v>
      </c>
      <c r="C100" t="s">
        <v>1308</v>
      </c>
      <c r="D100" t="s">
        <v>585</v>
      </c>
      <c r="E100">
        <v>7140</v>
      </c>
      <c r="F100">
        <v>7875</v>
      </c>
      <c r="G100">
        <v>8820</v>
      </c>
      <c r="H100">
        <v>9975</v>
      </c>
    </row>
    <row r="101" spans="1:8" ht="12.75">
      <c r="A101" t="str">
        <f t="shared" si="39"/>
        <v>AustriaDONE</v>
      </c>
      <c r="B101" t="s">
        <v>1406</v>
      </c>
      <c r="C101" t="s">
        <v>1308</v>
      </c>
      <c r="D101" t="s">
        <v>586</v>
      </c>
      <c r="E101">
        <v>4725</v>
      </c>
      <c r="F101">
        <v>5250</v>
      </c>
      <c r="G101">
        <v>5880</v>
      </c>
      <c r="H101">
        <v>6720</v>
      </c>
    </row>
    <row r="102" spans="1:8" ht="12.75">
      <c r="A102" t="str">
        <f t="shared" si="39"/>
        <v>AustriaLONE</v>
      </c>
      <c r="B102" t="s">
        <v>1406</v>
      </c>
      <c r="C102" t="s">
        <v>1308</v>
      </c>
      <c r="D102" t="s">
        <v>587</v>
      </c>
      <c r="E102">
        <v>2000</v>
      </c>
      <c r="F102">
        <v>2400</v>
      </c>
      <c r="G102">
        <v>2900</v>
      </c>
      <c r="H102">
        <v>3400</v>
      </c>
    </row>
    <row r="103" spans="1:8" ht="12.75">
      <c r="A103" t="str">
        <f t="shared" si="39"/>
        <v>BahrainAONE</v>
      </c>
      <c r="B103" t="s">
        <v>1016</v>
      </c>
      <c r="C103" t="s">
        <v>1340</v>
      </c>
      <c r="D103" t="s">
        <v>585</v>
      </c>
      <c r="E103">
        <v>2600</v>
      </c>
      <c r="F103">
        <v>2970</v>
      </c>
      <c r="G103">
        <v>3350</v>
      </c>
      <c r="H103">
        <v>3730</v>
      </c>
    </row>
    <row r="104" spans="1:8" ht="12.75">
      <c r="A104" t="str">
        <f t="shared" si="39"/>
        <v>BahrainDONE</v>
      </c>
      <c r="B104" t="s">
        <v>1016</v>
      </c>
      <c r="C104" t="s">
        <v>1340</v>
      </c>
      <c r="D104" t="s">
        <v>586</v>
      </c>
      <c r="E104">
        <v>2030</v>
      </c>
      <c r="F104">
        <v>2340</v>
      </c>
      <c r="G104">
        <v>2640</v>
      </c>
      <c r="H104">
        <v>2940</v>
      </c>
    </row>
    <row r="105" spans="1:8" ht="12.75">
      <c r="A105" t="str">
        <f t="shared" si="39"/>
        <v>BahrainLONE</v>
      </c>
      <c r="B105" t="s">
        <v>1016</v>
      </c>
      <c r="C105" t="s">
        <v>1340</v>
      </c>
      <c r="D105" t="s">
        <v>587</v>
      </c>
      <c r="E105">
        <v>1040</v>
      </c>
      <c r="F105">
        <v>1195</v>
      </c>
      <c r="G105">
        <v>1345</v>
      </c>
      <c r="H105">
        <v>1495</v>
      </c>
    </row>
    <row r="106" spans="1:8" ht="12.75">
      <c r="A106" t="str">
        <f t="shared" si="39"/>
        <v>BangladeshAONE</v>
      </c>
      <c r="B106" t="s">
        <v>1391</v>
      </c>
      <c r="C106" t="s">
        <v>1251</v>
      </c>
      <c r="D106" t="s">
        <v>585</v>
      </c>
      <c r="E106">
        <v>8265</v>
      </c>
      <c r="F106">
        <v>9245</v>
      </c>
      <c r="G106">
        <v>10632</v>
      </c>
      <c r="H106">
        <v>11870</v>
      </c>
    </row>
    <row r="107" spans="1:8" ht="12.75">
      <c r="A107" t="str">
        <f t="shared" si="39"/>
        <v>BangladeshDONE</v>
      </c>
      <c r="B107" t="s">
        <v>1391</v>
      </c>
      <c r="C107" t="s">
        <v>1251</v>
      </c>
      <c r="D107" t="s">
        <v>586</v>
      </c>
      <c r="E107">
        <v>4929</v>
      </c>
      <c r="F107">
        <v>5574</v>
      </c>
      <c r="G107">
        <v>6533</v>
      </c>
      <c r="H107">
        <v>7289</v>
      </c>
    </row>
    <row r="108" spans="1:8" ht="12.75">
      <c r="A108" t="str">
        <f t="shared" si="39"/>
        <v>BangladeshLONE</v>
      </c>
      <c r="B108" t="s">
        <v>1391</v>
      </c>
      <c r="C108" t="s">
        <v>1251</v>
      </c>
      <c r="D108" t="s">
        <v>587</v>
      </c>
      <c r="E108">
        <v>2387</v>
      </c>
      <c r="F108">
        <v>2865</v>
      </c>
      <c r="G108">
        <v>3294</v>
      </c>
      <c r="H108">
        <v>3789</v>
      </c>
    </row>
    <row r="109" spans="1:8" ht="12.75">
      <c r="A109" t="str">
        <f t="shared" si="39"/>
        <v>BelgiumAONE</v>
      </c>
      <c r="B109" t="s">
        <v>1408</v>
      </c>
      <c r="C109" t="s">
        <v>1308</v>
      </c>
      <c r="D109" t="s">
        <v>585</v>
      </c>
      <c r="E109">
        <v>7140</v>
      </c>
      <c r="F109">
        <v>7875</v>
      </c>
      <c r="G109">
        <v>8820</v>
      </c>
      <c r="H109">
        <v>9975</v>
      </c>
    </row>
    <row r="110" spans="1:8" ht="12.75">
      <c r="A110" t="str">
        <f t="shared" si="39"/>
        <v>BelgiumDONE</v>
      </c>
      <c r="B110" t="s">
        <v>1408</v>
      </c>
      <c r="C110" t="s">
        <v>1308</v>
      </c>
      <c r="D110" t="s">
        <v>586</v>
      </c>
      <c r="E110">
        <v>4725</v>
      </c>
      <c r="F110">
        <v>5250</v>
      </c>
      <c r="G110">
        <v>5880</v>
      </c>
      <c r="H110">
        <v>6720</v>
      </c>
    </row>
    <row r="111" spans="1:8" ht="12.75">
      <c r="A111" t="str">
        <f t="shared" si="39"/>
        <v>BelgiumLONE</v>
      </c>
      <c r="B111" t="s">
        <v>1408</v>
      </c>
      <c r="C111" t="s">
        <v>1308</v>
      </c>
      <c r="D111" t="s">
        <v>587</v>
      </c>
      <c r="E111">
        <v>2000</v>
      </c>
      <c r="F111">
        <v>2400</v>
      </c>
      <c r="G111">
        <v>2900</v>
      </c>
      <c r="H111">
        <v>3400</v>
      </c>
    </row>
    <row r="112" spans="1:8" ht="12.75">
      <c r="A112" t="str">
        <f t="shared" si="39"/>
        <v>CanadaAONE</v>
      </c>
      <c r="B112" t="s">
        <v>1030</v>
      </c>
      <c r="C112" t="s">
        <v>1356</v>
      </c>
      <c r="D112" t="s">
        <v>585</v>
      </c>
      <c r="E112">
        <v>11800</v>
      </c>
      <c r="F112">
        <v>12500</v>
      </c>
      <c r="G112">
        <v>13900</v>
      </c>
      <c r="H112">
        <v>15900</v>
      </c>
    </row>
    <row r="113" spans="1:8" ht="12.75">
      <c r="A113" t="str">
        <f t="shared" si="39"/>
        <v>CanadaDONE</v>
      </c>
      <c r="B113" t="s">
        <v>1030</v>
      </c>
      <c r="C113" t="s">
        <v>1356</v>
      </c>
      <c r="D113" t="s">
        <v>586</v>
      </c>
      <c r="E113">
        <v>8600</v>
      </c>
      <c r="F113">
        <v>9500</v>
      </c>
      <c r="G113">
        <v>10500</v>
      </c>
      <c r="H113">
        <v>11900</v>
      </c>
    </row>
    <row r="114" spans="1:8" ht="12.75">
      <c r="A114" t="str">
        <f t="shared" si="39"/>
        <v>CanadaLONE</v>
      </c>
      <c r="B114" t="s">
        <v>1030</v>
      </c>
      <c r="C114" t="s">
        <v>1356</v>
      </c>
      <c r="D114" t="s">
        <v>587</v>
      </c>
      <c r="E114">
        <v>3900</v>
      </c>
      <c r="F114">
        <v>4300</v>
      </c>
      <c r="G114">
        <v>5000</v>
      </c>
      <c r="H114">
        <v>5900</v>
      </c>
    </row>
    <row r="115" spans="1:8" ht="12.75">
      <c r="A115" t="str">
        <f t="shared" si="39"/>
        <v>ChinaAONE</v>
      </c>
      <c r="B115" t="s">
        <v>1392</v>
      </c>
      <c r="C115" t="s">
        <v>1269</v>
      </c>
      <c r="D115" t="s">
        <v>585</v>
      </c>
      <c r="E115">
        <v>67820</v>
      </c>
      <c r="F115">
        <v>76870</v>
      </c>
      <c r="G115">
        <v>88390</v>
      </c>
      <c r="H115">
        <v>101640</v>
      </c>
    </row>
    <row r="116" spans="1:8" ht="12.75">
      <c r="A116" t="str">
        <f t="shared" si="39"/>
        <v>ChinaDONE</v>
      </c>
      <c r="B116" t="s">
        <v>1392</v>
      </c>
      <c r="C116" t="s">
        <v>1269</v>
      </c>
      <c r="D116" t="s">
        <v>586</v>
      </c>
      <c r="E116">
        <v>47860</v>
      </c>
      <c r="F116">
        <v>53930</v>
      </c>
      <c r="G116">
        <v>62780</v>
      </c>
      <c r="H116">
        <v>71330</v>
      </c>
    </row>
    <row r="117" spans="1:8" ht="12.75">
      <c r="A117" t="str">
        <f t="shared" si="39"/>
        <v>ChinaLONE</v>
      </c>
      <c r="B117" t="s">
        <v>1392</v>
      </c>
      <c r="C117" t="s">
        <v>1269</v>
      </c>
      <c r="D117" t="s">
        <v>587</v>
      </c>
      <c r="E117">
        <v>21960</v>
      </c>
      <c r="F117">
        <v>25090</v>
      </c>
      <c r="G117">
        <v>28850</v>
      </c>
      <c r="H117">
        <v>33170</v>
      </c>
    </row>
    <row r="118" spans="1:8" ht="12.75">
      <c r="A118" t="str">
        <f t="shared" si="39"/>
        <v>DenmarkAONE</v>
      </c>
      <c r="B118" t="s">
        <v>1413</v>
      </c>
      <c r="C118" t="s">
        <v>1316</v>
      </c>
      <c r="D118" t="s">
        <v>585</v>
      </c>
      <c r="E118">
        <v>53235</v>
      </c>
      <c r="F118">
        <v>58695</v>
      </c>
      <c r="G118">
        <v>65730</v>
      </c>
      <c r="H118">
        <v>74340</v>
      </c>
    </row>
    <row r="119" spans="1:8" ht="12.75">
      <c r="A119" t="str">
        <f t="shared" si="39"/>
        <v>DenmarkDONE</v>
      </c>
      <c r="B119" t="s">
        <v>1413</v>
      </c>
      <c r="C119" t="s">
        <v>1316</v>
      </c>
      <c r="D119" t="s">
        <v>586</v>
      </c>
      <c r="E119">
        <v>35175</v>
      </c>
      <c r="F119">
        <v>39165</v>
      </c>
      <c r="G119">
        <v>43785</v>
      </c>
      <c r="H119">
        <v>50085</v>
      </c>
    </row>
    <row r="120" spans="1:8" ht="12.75">
      <c r="A120" t="str">
        <f t="shared" si="39"/>
        <v>DenmarkLONE</v>
      </c>
      <c r="B120" t="s">
        <v>1413</v>
      </c>
      <c r="C120" t="s">
        <v>1316</v>
      </c>
      <c r="D120" t="s">
        <v>587</v>
      </c>
      <c r="E120">
        <v>14900</v>
      </c>
      <c r="F120">
        <v>17900</v>
      </c>
      <c r="G120">
        <v>21600</v>
      </c>
      <c r="H120">
        <v>25400</v>
      </c>
    </row>
    <row r="121" spans="1:8" ht="12.75">
      <c r="A121" t="str">
        <f t="shared" si="39"/>
        <v>EgyptAONE</v>
      </c>
      <c r="B121" t="s">
        <v>1017</v>
      </c>
      <c r="C121" t="s">
        <v>1342</v>
      </c>
      <c r="D121" t="s">
        <v>585</v>
      </c>
      <c r="E121">
        <v>35400</v>
      </c>
      <c r="F121">
        <v>40810</v>
      </c>
      <c r="G121">
        <v>46270</v>
      </c>
      <c r="H121">
        <v>51710</v>
      </c>
    </row>
    <row r="122" spans="1:8" ht="12.75">
      <c r="A122" t="str">
        <f t="shared" si="39"/>
        <v>EgyptDONE</v>
      </c>
      <c r="B122" t="s">
        <v>1017</v>
      </c>
      <c r="C122" t="s">
        <v>1342</v>
      </c>
      <c r="D122" t="s">
        <v>586</v>
      </c>
      <c r="E122">
        <v>27290</v>
      </c>
      <c r="F122">
        <v>30320</v>
      </c>
      <c r="G122">
        <v>33350</v>
      </c>
      <c r="H122">
        <v>36390</v>
      </c>
    </row>
    <row r="123" spans="1:8" ht="12.75">
      <c r="A123" t="str">
        <f t="shared" si="39"/>
        <v>EgyptLONE</v>
      </c>
      <c r="B123" t="s">
        <v>1017</v>
      </c>
      <c r="C123" t="s">
        <v>1342</v>
      </c>
      <c r="D123" t="s">
        <v>587</v>
      </c>
      <c r="E123">
        <v>11570</v>
      </c>
      <c r="F123">
        <v>13590</v>
      </c>
      <c r="G123">
        <v>15600</v>
      </c>
      <c r="H123">
        <v>17650</v>
      </c>
    </row>
    <row r="124" spans="1:8" ht="12.75">
      <c r="A124" t="str">
        <f t="shared" si="39"/>
        <v>FinlandAONE</v>
      </c>
      <c r="B124" t="s">
        <v>1415</v>
      </c>
      <c r="C124" t="s">
        <v>1308</v>
      </c>
      <c r="D124" t="s">
        <v>585</v>
      </c>
      <c r="E124">
        <v>7140</v>
      </c>
      <c r="F124">
        <v>7875</v>
      </c>
      <c r="G124">
        <v>8820</v>
      </c>
      <c r="H124">
        <v>9975</v>
      </c>
    </row>
    <row r="125" spans="1:8" ht="12.75">
      <c r="A125" t="str">
        <f t="shared" si="39"/>
        <v>FinlandDONE</v>
      </c>
      <c r="B125" t="s">
        <v>1415</v>
      </c>
      <c r="C125" t="s">
        <v>1308</v>
      </c>
      <c r="D125" t="s">
        <v>586</v>
      </c>
      <c r="E125">
        <v>4500</v>
      </c>
      <c r="F125">
        <v>5000</v>
      </c>
      <c r="G125">
        <v>5600</v>
      </c>
      <c r="H125">
        <v>6400</v>
      </c>
    </row>
    <row r="126" spans="1:8" ht="12.75">
      <c r="A126" t="str">
        <f t="shared" si="39"/>
        <v>FinlandLONE</v>
      </c>
      <c r="B126" t="s">
        <v>1415</v>
      </c>
      <c r="C126" t="s">
        <v>1308</v>
      </c>
      <c r="D126" t="s">
        <v>587</v>
      </c>
      <c r="E126">
        <v>2000</v>
      </c>
      <c r="F126">
        <v>2400</v>
      </c>
      <c r="G126">
        <v>2900</v>
      </c>
      <c r="H126">
        <v>3400</v>
      </c>
    </row>
    <row r="127" spans="1:8" ht="12.75">
      <c r="A127" t="str">
        <f t="shared" si="39"/>
        <v>FranceAONE</v>
      </c>
      <c r="B127" t="s">
        <v>1416</v>
      </c>
      <c r="C127" t="s">
        <v>1308</v>
      </c>
      <c r="D127" t="s">
        <v>585</v>
      </c>
      <c r="E127">
        <v>7140</v>
      </c>
      <c r="F127">
        <v>7875</v>
      </c>
      <c r="G127">
        <v>8820</v>
      </c>
      <c r="H127">
        <v>9975</v>
      </c>
    </row>
    <row r="128" spans="1:8" ht="12.75">
      <c r="A128" t="str">
        <f t="shared" si="39"/>
        <v>FranceDONE</v>
      </c>
      <c r="B128" t="s">
        <v>1416</v>
      </c>
      <c r="C128" t="s">
        <v>1308</v>
      </c>
      <c r="D128" t="s">
        <v>586</v>
      </c>
      <c r="E128">
        <v>4500</v>
      </c>
      <c r="F128">
        <v>5000</v>
      </c>
      <c r="G128">
        <v>5600</v>
      </c>
      <c r="H128">
        <v>6400</v>
      </c>
    </row>
    <row r="129" spans="1:8" ht="12.75">
      <c r="A129" t="str">
        <f t="shared" si="39"/>
        <v>FranceLONE</v>
      </c>
      <c r="B129" t="s">
        <v>1416</v>
      </c>
      <c r="C129" t="s">
        <v>1308</v>
      </c>
      <c r="D129" t="s">
        <v>587</v>
      </c>
      <c r="E129">
        <v>2000</v>
      </c>
      <c r="F129">
        <v>2400</v>
      </c>
      <c r="G129">
        <v>2900</v>
      </c>
      <c r="H129">
        <v>3400</v>
      </c>
    </row>
    <row r="130" spans="1:8" ht="12.75">
      <c r="A130" t="str">
        <f t="shared" si="39"/>
        <v>GermanyAONE</v>
      </c>
      <c r="B130" t="s">
        <v>1418</v>
      </c>
      <c r="C130" t="s">
        <v>1308</v>
      </c>
      <c r="D130" t="s">
        <v>585</v>
      </c>
      <c r="E130">
        <v>7140</v>
      </c>
      <c r="F130">
        <v>7875</v>
      </c>
      <c r="G130">
        <v>8820</v>
      </c>
      <c r="H130">
        <v>9975</v>
      </c>
    </row>
    <row r="131" spans="1:8" ht="12.75">
      <c r="A131" t="str">
        <f t="shared" si="39"/>
        <v>GermanyDONE</v>
      </c>
      <c r="B131" t="s">
        <v>1418</v>
      </c>
      <c r="C131" t="s">
        <v>1308</v>
      </c>
      <c r="D131" t="s">
        <v>586</v>
      </c>
      <c r="E131">
        <v>4500</v>
      </c>
      <c r="F131">
        <v>5000</v>
      </c>
      <c r="G131">
        <v>5600</v>
      </c>
      <c r="H131">
        <v>6400</v>
      </c>
    </row>
    <row r="132" spans="1:8" ht="12.75">
      <c r="A132" t="str">
        <f t="shared" si="39"/>
        <v>GermanyLONE</v>
      </c>
      <c r="B132" t="s">
        <v>1418</v>
      </c>
      <c r="C132" t="s">
        <v>1308</v>
      </c>
      <c r="D132" t="s">
        <v>587</v>
      </c>
      <c r="E132">
        <v>2000</v>
      </c>
      <c r="F132">
        <v>2400</v>
      </c>
      <c r="G132">
        <v>2900</v>
      </c>
      <c r="H132">
        <v>3400</v>
      </c>
    </row>
    <row r="133" spans="1:8" ht="12.75">
      <c r="A133" t="str">
        <f t="shared" si="39"/>
        <v>Hong KongAONE</v>
      </c>
      <c r="B133" t="s">
        <v>1393</v>
      </c>
      <c r="C133" t="s">
        <v>1270</v>
      </c>
      <c r="D133" t="s">
        <v>585</v>
      </c>
      <c r="E133">
        <v>64000</v>
      </c>
      <c r="F133">
        <v>71940</v>
      </c>
      <c r="G133">
        <v>81950</v>
      </c>
      <c r="H133">
        <v>88880</v>
      </c>
    </row>
    <row r="134" spans="1:8" ht="12.75">
      <c r="A134" t="str">
        <f t="shared" si="39"/>
        <v>Hong KongDONE</v>
      </c>
      <c r="B134" t="s">
        <v>1393</v>
      </c>
      <c r="C134" t="s">
        <v>1270</v>
      </c>
      <c r="D134" t="s">
        <v>586</v>
      </c>
      <c r="E134">
        <v>45160</v>
      </c>
      <c r="F134">
        <v>50970</v>
      </c>
      <c r="G134">
        <v>59180</v>
      </c>
      <c r="H134">
        <v>63560</v>
      </c>
    </row>
    <row r="135" spans="1:8" ht="12.75">
      <c r="A135" t="str">
        <f t="shared" si="39"/>
        <v>Hong KongLONE</v>
      </c>
      <c r="B135" t="s">
        <v>1393</v>
      </c>
      <c r="C135" t="s">
        <v>1270</v>
      </c>
      <c r="D135" t="s">
        <v>587</v>
      </c>
      <c r="E135">
        <v>21590</v>
      </c>
      <c r="F135">
        <v>24750</v>
      </c>
      <c r="G135">
        <v>28180</v>
      </c>
      <c r="H135">
        <v>31430</v>
      </c>
    </row>
    <row r="136" spans="1:8" ht="12.75">
      <c r="A136" t="str">
        <f t="shared" si="39"/>
        <v>IndiaAONE</v>
      </c>
      <c r="B136" t="s">
        <v>1394</v>
      </c>
      <c r="C136" t="s">
        <v>1272</v>
      </c>
      <c r="D136" t="s">
        <v>585</v>
      </c>
      <c r="E136">
        <v>364000</v>
      </c>
      <c r="F136">
        <v>412745</v>
      </c>
      <c r="G136">
        <v>474650</v>
      </c>
      <c r="H136">
        <v>545850</v>
      </c>
    </row>
    <row r="137" spans="1:8" ht="12.75">
      <c r="A137" t="str">
        <f t="shared" si="39"/>
        <v>IndiaDONE</v>
      </c>
      <c r="B137" t="s">
        <v>1394</v>
      </c>
      <c r="C137" t="s">
        <v>1272</v>
      </c>
      <c r="D137" t="s">
        <v>586</v>
      </c>
      <c r="E137">
        <v>217100</v>
      </c>
      <c r="F137">
        <v>247870</v>
      </c>
      <c r="G137">
        <v>285055</v>
      </c>
      <c r="H137">
        <v>324570</v>
      </c>
    </row>
    <row r="138" spans="1:8" ht="12.75">
      <c r="A138" t="str">
        <f t="shared" si="39"/>
        <v>IndiaLONE</v>
      </c>
      <c r="B138" t="s">
        <v>1394</v>
      </c>
      <c r="C138" t="s">
        <v>1272</v>
      </c>
      <c r="D138" t="s">
        <v>587</v>
      </c>
      <c r="E138">
        <v>112720</v>
      </c>
      <c r="F138">
        <v>135260</v>
      </c>
      <c r="G138">
        <v>155550</v>
      </c>
      <c r="H138">
        <v>178875</v>
      </c>
    </row>
    <row r="139" spans="1:8" ht="12.75">
      <c r="A139" t="str">
        <f t="shared" si="39"/>
        <v>IndonesiaAONE</v>
      </c>
      <c r="B139" t="s">
        <v>1395</v>
      </c>
      <c r="C139" t="s">
        <v>1251</v>
      </c>
      <c r="D139" t="s">
        <v>585</v>
      </c>
      <c r="E139">
        <v>6699</v>
      </c>
      <c r="F139">
        <v>7947</v>
      </c>
      <c r="G139">
        <v>9139</v>
      </c>
      <c r="H139">
        <v>10509</v>
      </c>
    </row>
    <row r="140" spans="1:8" ht="12.75">
      <c r="A140" t="str">
        <f t="shared" si="39"/>
        <v>IndonesiaDONE</v>
      </c>
      <c r="B140" t="s">
        <v>1395</v>
      </c>
      <c r="C140" t="s">
        <v>1251</v>
      </c>
      <c r="D140" t="s">
        <v>586</v>
      </c>
      <c r="E140">
        <v>4979</v>
      </c>
      <c r="F140">
        <v>5804</v>
      </c>
      <c r="G140">
        <v>6674</v>
      </c>
      <c r="H140">
        <v>7676</v>
      </c>
    </row>
    <row r="141" spans="1:8" ht="12.75">
      <c r="A141" t="str">
        <f t="shared" si="39"/>
        <v>IndonesiaLONE</v>
      </c>
      <c r="B141" t="s">
        <v>1395</v>
      </c>
      <c r="C141" t="s">
        <v>1251</v>
      </c>
      <c r="D141" t="s">
        <v>587</v>
      </c>
      <c r="E141">
        <v>2895</v>
      </c>
      <c r="F141">
        <v>3474</v>
      </c>
      <c r="G141">
        <v>3996</v>
      </c>
      <c r="H141">
        <v>4595</v>
      </c>
    </row>
    <row r="142" spans="1:8" ht="12.75">
      <c r="A142" t="str">
        <f t="shared" si="39"/>
        <v>IrelandAONE</v>
      </c>
      <c r="B142" t="s">
        <v>1422</v>
      </c>
      <c r="C142" t="s">
        <v>1308</v>
      </c>
      <c r="D142" t="s">
        <v>585</v>
      </c>
      <c r="E142">
        <v>10762</v>
      </c>
      <c r="F142">
        <v>11287</v>
      </c>
      <c r="G142">
        <v>12652</v>
      </c>
      <c r="H142">
        <v>13177</v>
      </c>
    </row>
    <row r="143" spans="1:8" ht="12.75">
      <c r="A143" t="str">
        <f t="shared" si="39"/>
        <v>IrelandDONE</v>
      </c>
      <c r="B143" t="s">
        <v>1422</v>
      </c>
      <c r="C143" t="s">
        <v>1308</v>
      </c>
      <c r="D143" t="s">
        <v>586</v>
      </c>
      <c r="E143">
        <v>6299</v>
      </c>
      <c r="F143">
        <v>7717</v>
      </c>
      <c r="G143">
        <v>8399</v>
      </c>
      <c r="H143">
        <v>9082</v>
      </c>
    </row>
    <row r="144" spans="1:8" ht="12.75">
      <c r="A144" t="str">
        <f t="shared" si="39"/>
        <v>IrelandLONE</v>
      </c>
      <c r="B144" t="s">
        <v>1422</v>
      </c>
      <c r="C144" t="s">
        <v>1308</v>
      </c>
      <c r="D144" t="s">
        <v>587</v>
      </c>
      <c r="E144">
        <v>2199</v>
      </c>
      <c r="F144">
        <v>2449</v>
      </c>
      <c r="G144">
        <v>3099</v>
      </c>
      <c r="H144">
        <v>3399</v>
      </c>
    </row>
    <row r="145" spans="1:8" ht="12.75">
      <c r="A145" t="str">
        <f t="shared" si="39"/>
        <v>IsraelAONE</v>
      </c>
      <c r="B145" t="s">
        <v>1019</v>
      </c>
      <c r="C145" t="s">
        <v>1251</v>
      </c>
      <c r="D145" t="s">
        <v>585</v>
      </c>
      <c r="E145">
        <v>6999</v>
      </c>
      <c r="F145">
        <v>8099</v>
      </c>
      <c r="G145">
        <v>9599</v>
      </c>
      <c r="H145">
        <v>10599</v>
      </c>
    </row>
    <row r="146" spans="1:8" ht="12.75">
      <c r="A146" t="str">
        <f t="shared" si="39"/>
        <v>IsraelDONE</v>
      </c>
      <c r="B146" t="s">
        <v>1019</v>
      </c>
      <c r="C146" t="s">
        <v>1251</v>
      </c>
      <c r="D146" t="s">
        <v>586</v>
      </c>
      <c r="E146">
        <v>4999</v>
      </c>
      <c r="F146">
        <v>5999</v>
      </c>
      <c r="G146">
        <v>6999</v>
      </c>
      <c r="H146">
        <v>7999</v>
      </c>
    </row>
    <row r="147" spans="1:8" ht="12.75">
      <c r="A147" t="str">
        <f t="shared" si="39"/>
        <v>IsraelLONE</v>
      </c>
      <c r="B147" t="s">
        <v>1019</v>
      </c>
      <c r="C147" t="s">
        <v>1251</v>
      </c>
      <c r="D147" t="s">
        <v>587</v>
      </c>
      <c r="E147">
        <v>2499</v>
      </c>
      <c r="F147">
        <v>2899</v>
      </c>
      <c r="G147">
        <v>3399</v>
      </c>
      <c r="H147">
        <v>3999</v>
      </c>
    </row>
    <row r="148" spans="1:8" ht="12.75">
      <c r="A148" t="str">
        <f t="shared" si="39"/>
        <v>ItalyAONE</v>
      </c>
      <c r="B148" t="s">
        <v>1423</v>
      </c>
      <c r="C148" t="s">
        <v>1308</v>
      </c>
      <c r="D148" t="s">
        <v>585</v>
      </c>
      <c r="E148">
        <v>7140</v>
      </c>
      <c r="F148">
        <v>7875</v>
      </c>
      <c r="G148">
        <v>8820</v>
      </c>
      <c r="H148">
        <v>9975</v>
      </c>
    </row>
    <row r="149" spans="1:8" ht="12.75">
      <c r="A149" t="str">
        <f t="shared" si="39"/>
        <v>ItalyDONE</v>
      </c>
      <c r="B149" t="s">
        <v>1423</v>
      </c>
      <c r="C149" t="s">
        <v>1308</v>
      </c>
      <c r="D149" t="s">
        <v>586</v>
      </c>
      <c r="E149">
        <v>4725</v>
      </c>
      <c r="F149">
        <v>5250</v>
      </c>
      <c r="G149">
        <v>5880</v>
      </c>
      <c r="H149">
        <v>6720</v>
      </c>
    </row>
    <row r="150" spans="1:8" ht="12.75">
      <c r="A150" t="str">
        <f t="shared" si="39"/>
        <v>ItalyLONE</v>
      </c>
      <c r="B150" t="s">
        <v>1423</v>
      </c>
      <c r="C150" t="s">
        <v>1308</v>
      </c>
      <c r="D150" t="s">
        <v>587</v>
      </c>
      <c r="E150">
        <v>2000</v>
      </c>
      <c r="F150">
        <v>2400</v>
      </c>
      <c r="G150">
        <v>2900</v>
      </c>
      <c r="H150">
        <v>3400</v>
      </c>
    </row>
    <row r="151" spans="1:8" ht="12.75">
      <c r="A151" t="str">
        <f t="shared" si="39"/>
        <v>JapanAONE</v>
      </c>
      <c r="B151" t="s">
        <v>1396</v>
      </c>
      <c r="C151" t="s">
        <v>1273</v>
      </c>
      <c r="D151" t="s">
        <v>585</v>
      </c>
      <c r="E151">
        <v>845500</v>
      </c>
      <c r="F151">
        <v>945600</v>
      </c>
      <c r="G151">
        <v>1095800</v>
      </c>
      <c r="H151">
        <v>1279300</v>
      </c>
    </row>
    <row r="152" spans="1:8" ht="12.75">
      <c r="A152" t="str">
        <f t="shared" si="39"/>
        <v>JapanDONE</v>
      </c>
      <c r="B152" t="s">
        <v>1396</v>
      </c>
      <c r="C152" t="s">
        <v>1273</v>
      </c>
      <c r="D152" t="s">
        <v>586</v>
      </c>
      <c r="E152">
        <v>587500</v>
      </c>
      <c r="F152">
        <v>700800</v>
      </c>
      <c r="G152">
        <v>773200</v>
      </c>
      <c r="H152">
        <v>878800</v>
      </c>
    </row>
    <row r="153" spans="1:8" ht="12.75">
      <c r="A153" t="str">
        <f t="shared" si="39"/>
        <v>JapanLONE</v>
      </c>
      <c r="B153" t="s">
        <v>1396</v>
      </c>
      <c r="C153" t="s">
        <v>1273</v>
      </c>
      <c r="D153" t="s">
        <v>587</v>
      </c>
      <c r="E153">
        <v>321900</v>
      </c>
      <c r="F153">
        <v>355400</v>
      </c>
      <c r="G153">
        <v>421200</v>
      </c>
      <c r="H153">
        <v>485000</v>
      </c>
    </row>
    <row r="154" spans="1:8" ht="12.75">
      <c r="A154" t="str">
        <f t="shared" si="39"/>
        <v>KoreaAONE</v>
      </c>
      <c r="B154" t="s">
        <v>1397</v>
      </c>
      <c r="C154" t="s">
        <v>1274</v>
      </c>
      <c r="D154" t="s">
        <v>585</v>
      </c>
      <c r="E154">
        <v>8074000</v>
      </c>
      <c r="F154">
        <v>9173500</v>
      </c>
      <c r="G154">
        <v>10549600</v>
      </c>
      <c r="H154">
        <v>12132100</v>
      </c>
    </row>
    <row r="155" spans="1:8" ht="12.75">
      <c r="A155" t="str">
        <f t="shared" si="39"/>
        <v>KoreaDONE</v>
      </c>
      <c r="B155" t="s">
        <v>1397</v>
      </c>
      <c r="C155" t="s">
        <v>1274</v>
      </c>
      <c r="D155" t="s">
        <v>586</v>
      </c>
      <c r="E155">
        <v>5415400</v>
      </c>
      <c r="F155">
        <v>6454100</v>
      </c>
      <c r="G155">
        <v>7418600</v>
      </c>
      <c r="H155">
        <v>8531400</v>
      </c>
    </row>
    <row r="156" spans="1:8" ht="12.75">
      <c r="A156" t="str">
        <f t="shared" si="39"/>
        <v>KoreaLONE</v>
      </c>
      <c r="B156" t="s">
        <v>1397</v>
      </c>
      <c r="C156" t="s">
        <v>1274</v>
      </c>
      <c r="D156" t="s">
        <v>587</v>
      </c>
      <c r="E156">
        <v>2905500</v>
      </c>
      <c r="F156">
        <v>3486700</v>
      </c>
      <c r="G156">
        <v>4009700</v>
      </c>
      <c r="H156">
        <v>4711200</v>
      </c>
    </row>
    <row r="157" spans="1:8" ht="12.75">
      <c r="A157" t="str">
        <f t="shared" si="39"/>
        <v>KuwaitAONE</v>
      </c>
      <c r="B157" t="s">
        <v>1021</v>
      </c>
      <c r="C157" t="s">
        <v>1346</v>
      </c>
      <c r="D157" t="s">
        <v>585</v>
      </c>
      <c r="E157">
        <v>2140</v>
      </c>
      <c r="F157">
        <v>2450</v>
      </c>
      <c r="G157">
        <v>2760</v>
      </c>
      <c r="H157">
        <v>3070</v>
      </c>
    </row>
    <row r="158" spans="1:8" ht="12.75">
      <c r="A158" t="str">
        <f t="shared" si="39"/>
        <v>KuwaitDONE</v>
      </c>
      <c r="B158" t="s">
        <v>1021</v>
      </c>
      <c r="C158" t="s">
        <v>1346</v>
      </c>
      <c r="D158" t="s">
        <v>586</v>
      </c>
      <c r="E158">
        <v>1680</v>
      </c>
      <c r="F158">
        <v>1920</v>
      </c>
      <c r="G158">
        <v>2170</v>
      </c>
      <c r="H158">
        <v>2420</v>
      </c>
    </row>
    <row r="159" spans="1:8" ht="12.75">
      <c r="A159" t="str">
        <f t="shared" si="39"/>
        <v>KuwaitLONE</v>
      </c>
      <c r="B159" t="s">
        <v>1021</v>
      </c>
      <c r="C159" t="s">
        <v>1346</v>
      </c>
      <c r="D159" t="s">
        <v>587</v>
      </c>
      <c r="E159">
        <v>833</v>
      </c>
      <c r="F159">
        <v>956</v>
      </c>
      <c r="G159">
        <v>1079</v>
      </c>
      <c r="H159">
        <v>1202</v>
      </c>
    </row>
    <row r="160" spans="1:8" ht="12.75">
      <c r="A160" t="str">
        <f t="shared" si="39"/>
        <v>LuxembourgAONE</v>
      </c>
      <c r="B160" t="s">
        <v>1425</v>
      </c>
      <c r="C160" t="s">
        <v>1308</v>
      </c>
      <c r="D160" t="s">
        <v>585</v>
      </c>
      <c r="E160">
        <v>7140</v>
      </c>
      <c r="F160">
        <v>7875</v>
      </c>
      <c r="G160">
        <v>8820</v>
      </c>
      <c r="H160">
        <v>9975</v>
      </c>
    </row>
    <row r="161" spans="1:8" ht="12.75">
      <c r="A161" t="str">
        <f t="shared" si="39"/>
        <v>LuxembourgDONE</v>
      </c>
      <c r="B161" t="s">
        <v>1425</v>
      </c>
      <c r="C161" t="s">
        <v>1308</v>
      </c>
      <c r="D161" t="s">
        <v>586</v>
      </c>
      <c r="E161">
        <v>4725</v>
      </c>
      <c r="F161">
        <v>5250</v>
      </c>
      <c r="G161">
        <v>5880</v>
      </c>
      <c r="H161">
        <v>6720</v>
      </c>
    </row>
    <row r="162" spans="1:8" ht="12.75">
      <c r="A162" t="str">
        <f aca="true" t="shared" si="40" ref="A162:A225">B162&amp;LEFT(D162,4)</f>
        <v>LuxembourgLONE</v>
      </c>
      <c r="B162" t="s">
        <v>1425</v>
      </c>
      <c r="C162" t="s">
        <v>1308</v>
      </c>
      <c r="D162" t="s">
        <v>587</v>
      </c>
      <c r="E162">
        <v>2000</v>
      </c>
      <c r="F162">
        <v>2400</v>
      </c>
      <c r="G162">
        <v>2900</v>
      </c>
      <c r="H162">
        <v>3400</v>
      </c>
    </row>
    <row r="163" spans="1:8" ht="12.75">
      <c r="A163" t="str">
        <f t="shared" si="40"/>
        <v>MalaysiaAONE</v>
      </c>
      <c r="B163" t="s">
        <v>1398</v>
      </c>
      <c r="C163" t="s">
        <v>1275</v>
      </c>
      <c r="D163" t="s">
        <v>585</v>
      </c>
      <c r="E163">
        <v>33890</v>
      </c>
      <c r="F163">
        <v>36787</v>
      </c>
      <c r="G163">
        <v>42306</v>
      </c>
      <c r="H163">
        <v>48415</v>
      </c>
    </row>
    <row r="164" spans="1:8" ht="12.75">
      <c r="A164" t="str">
        <f t="shared" si="40"/>
        <v>MalaysiaDONE</v>
      </c>
      <c r="B164" t="s">
        <v>1398</v>
      </c>
      <c r="C164" t="s">
        <v>1275</v>
      </c>
      <c r="D164" t="s">
        <v>586</v>
      </c>
      <c r="E164">
        <v>22880</v>
      </c>
      <c r="F164">
        <v>25875</v>
      </c>
      <c r="G164">
        <v>29756</v>
      </c>
      <c r="H164">
        <v>33336</v>
      </c>
    </row>
    <row r="165" spans="1:8" ht="12.75">
      <c r="A165" t="str">
        <f t="shared" si="40"/>
        <v>MalaysiaLONE</v>
      </c>
      <c r="B165" t="s">
        <v>1398</v>
      </c>
      <c r="C165" t="s">
        <v>1275</v>
      </c>
      <c r="D165" t="s">
        <v>587</v>
      </c>
      <c r="E165">
        <v>10461</v>
      </c>
      <c r="F165">
        <v>12555</v>
      </c>
      <c r="G165">
        <v>13904</v>
      </c>
      <c r="H165">
        <v>15991</v>
      </c>
    </row>
    <row r="166" spans="1:8" ht="12.75">
      <c r="A166" t="str">
        <f t="shared" si="40"/>
        <v>NetherlandsAONE</v>
      </c>
      <c r="B166" t="s">
        <v>1003</v>
      </c>
      <c r="C166" t="s">
        <v>1308</v>
      </c>
      <c r="D166" t="s">
        <v>585</v>
      </c>
      <c r="E166">
        <v>7140</v>
      </c>
      <c r="F166">
        <v>7875</v>
      </c>
      <c r="G166">
        <v>8820</v>
      </c>
      <c r="H166">
        <v>9975</v>
      </c>
    </row>
    <row r="167" spans="1:8" ht="12.75">
      <c r="A167" t="str">
        <f t="shared" si="40"/>
        <v>NetherlandsDONE</v>
      </c>
      <c r="B167" t="s">
        <v>1003</v>
      </c>
      <c r="C167" t="s">
        <v>1308</v>
      </c>
      <c r="D167" t="s">
        <v>586</v>
      </c>
      <c r="E167">
        <v>4725</v>
      </c>
      <c r="F167">
        <v>5250</v>
      </c>
      <c r="G167">
        <v>5880</v>
      </c>
      <c r="H167">
        <v>6720</v>
      </c>
    </row>
    <row r="168" spans="1:8" ht="12.75">
      <c r="A168" t="str">
        <f t="shared" si="40"/>
        <v>NetherlandsLONE</v>
      </c>
      <c r="B168" t="s">
        <v>1003</v>
      </c>
      <c r="C168" t="s">
        <v>1308</v>
      </c>
      <c r="D168" t="s">
        <v>587</v>
      </c>
      <c r="E168">
        <v>2000</v>
      </c>
      <c r="F168">
        <v>2400</v>
      </c>
      <c r="G168">
        <v>2900</v>
      </c>
      <c r="H168">
        <v>3400</v>
      </c>
    </row>
    <row r="169" spans="1:8" ht="12.75">
      <c r="A169" t="str">
        <f t="shared" si="40"/>
        <v>New ZealandAONE</v>
      </c>
      <c r="B169" t="s">
        <v>1029</v>
      </c>
      <c r="C169" t="s">
        <v>1354</v>
      </c>
      <c r="D169" t="s">
        <v>585</v>
      </c>
      <c r="E169">
        <v>0</v>
      </c>
      <c r="F169">
        <v>13899</v>
      </c>
      <c r="G169">
        <v>15479</v>
      </c>
      <c r="H169">
        <v>17879</v>
      </c>
    </row>
    <row r="170" spans="1:8" ht="12.75">
      <c r="A170" t="str">
        <f t="shared" si="40"/>
        <v>New ZealandDONE</v>
      </c>
      <c r="B170" t="s">
        <v>1029</v>
      </c>
      <c r="C170" t="s">
        <v>1354</v>
      </c>
      <c r="D170" t="s">
        <v>586</v>
      </c>
      <c r="E170">
        <v>0</v>
      </c>
      <c r="F170">
        <v>10239</v>
      </c>
      <c r="G170">
        <v>11759</v>
      </c>
      <c r="H170">
        <v>13269</v>
      </c>
    </row>
    <row r="171" spans="1:8" ht="12.75">
      <c r="A171" t="str">
        <f t="shared" si="40"/>
        <v>New ZealandLONE</v>
      </c>
      <c r="B171" t="s">
        <v>1029</v>
      </c>
      <c r="C171" t="s">
        <v>1354</v>
      </c>
      <c r="D171" t="s">
        <v>587</v>
      </c>
      <c r="E171">
        <v>0</v>
      </c>
      <c r="F171">
        <v>4089</v>
      </c>
      <c r="G171">
        <v>4399</v>
      </c>
      <c r="H171">
        <v>4759</v>
      </c>
    </row>
    <row r="172" spans="1:8" ht="12.75">
      <c r="A172" t="str">
        <f t="shared" si="40"/>
        <v>North AmericaAONE</v>
      </c>
      <c r="B172" t="s">
        <v>588</v>
      </c>
      <c r="C172" t="s">
        <v>1251</v>
      </c>
      <c r="D172" t="s">
        <v>585</v>
      </c>
      <c r="E172">
        <v>8900</v>
      </c>
      <c r="F172">
        <v>9600</v>
      </c>
      <c r="G172">
        <v>10500</v>
      </c>
      <c r="H172">
        <v>12200</v>
      </c>
    </row>
    <row r="173" spans="1:8" ht="12.75">
      <c r="A173" t="str">
        <f t="shared" si="40"/>
        <v>North AmericaDONE</v>
      </c>
      <c r="B173" t="s">
        <v>588</v>
      </c>
      <c r="C173" t="s">
        <v>1251</v>
      </c>
      <c r="D173" t="s">
        <v>586</v>
      </c>
      <c r="E173">
        <v>6900</v>
      </c>
      <c r="F173">
        <v>7700</v>
      </c>
      <c r="G173">
        <v>8500</v>
      </c>
      <c r="H173">
        <v>9600</v>
      </c>
    </row>
    <row r="174" spans="1:8" ht="12.75">
      <c r="A174" t="str">
        <f t="shared" si="40"/>
        <v>North AmericaLONE</v>
      </c>
      <c r="B174" t="s">
        <v>588</v>
      </c>
      <c r="C174" t="s">
        <v>1251</v>
      </c>
      <c r="D174" t="s">
        <v>587</v>
      </c>
      <c r="E174">
        <v>3700</v>
      </c>
      <c r="F174">
        <v>3900</v>
      </c>
      <c r="G174">
        <v>4600</v>
      </c>
      <c r="H174">
        <v>5000</v>
      </c>
    </row>
    <row r="175" spans="1:8" ht="12.75">
      <c r="A175" t="str">
        <f t="shared" si="40"/>
        <v>NorwayAONE</v>
      </c>
      <c r="B175" t="s">
        <v>1004</v>
      </c>
      <c r="C175" t="s">
        <v>1323</v>
      </c>
      <c r="D175" t="s">
        <v>585</v>
      </c>
      <c r="E175">
        <v>56910</v>
      </c>
      <c r="F175">
        <v>62790</v>
      </c>
      <c r="G175">
        <v>70245</v>
      </c>
      <c r="H175">
        <v>79485</v>
      </c>
    </row>
    <row r="176" spans="1:8" ht="12.75">
      <c r="A176" t="str">
        <f t="shared" si="40"/>
        <v>NorwayDONE</v>
      </c>
      <c r="B176" t="s">
        <v>1004</v>
      </c>
      <c r="C176" t="s">
        <v>1323</v>
      </c>
      <c r="D176" t="s">
        <v>586</v>
      </c>
      <c r="E176">
        <v>37695</v>
      </c>
      <c r="F176">
        <v>41895</v>
      </c>
      <c r="G176">
        <v>46935</v>
      </c>
      <c r="H176">
        <v>53550</v>
      </c>
    </row>
    <row r="177" spans="1:8" ht="12.75">
      <c r="A177" t="str">
        <f t="shared" si="40"/>
        <v>NorwayLONE</v>
      </c>
      <c r="B177" t="s">
        <v>1004</v>
      </c>
      <c r="C177" t="s">
        <v>1323</v>
      </c>
      <c r="D177" t="s">
        <v>587</v>
      </c>
      <c r="E177">
        <v>16600</v>
      </c>
      <c r="F177">
        <v>19100</v>
      </c>
      <c r="G177">
        <v>23100</v>
      </c>
      <c r="H177">
        <v>27000</v>
      </c>
    </row>
    <row r="178" spans="1:8" ht="12.75">
      <c r="A178" t="str">
        <f t="shared" si="40"/>
        <v>OmanAONE</v>
      </c>
      <c r="B178" t="s">
        <v>1023</v>
      </c>
      <c r="C178" t="s">
        <v>1347</v>
      </c>
      <c r="D178" t="s">
        <v>585</v>
      </c>
      <c r="E178">
        <v>2630</v>
      </c>
      <c r="F178">
        <v>3010</v>
      </c>
      <c r="G178">
        <v>3400</v>
      </c>
      <c r="H178">
        <v>3780</v>
      </c>
    </row>
    <row r="179" spans="1:8" ht="12.75">
      <c r="A179" t="str">
        <f t="shared" si="40"/>
        <v>OmanDONE</v>
      </c>
      <c r="B179" t="s">
        <v>1023</v>
      </c>
      <c r="C179" t="s">
        <v>1347</v>
      </c>
      <c r="D179" t="s">
        <v>586</v>
      </c>
      <c r="E179">
        <v>2060</v>
      </c>
      <c r="F179">
        <v>2370</v>
      </c>
      <c r="G179">
        <v>2670</v>
      </c>
      <c r="H179">
        <v>2980</v>
      </c>
    </row>
    <row r="180" spans="1:8" ht="12.75">
      <c r="A180" t="str">
        <f t="shared" si="40"/>
        <v>OmanLONE</v>
      </c>
      <c r="B180" t="s">
        <v>1023</v>
      </c>
      <c r="C180" t="s">
        <v>1347</v>
      </c>
      <c r="D180" t="s">
        <v>587</v>
      </c>
      <c r="E180">
        <v>1069</v>
      </c>
      <c r="F180">
        <v>1223</v>
      </c>
      <c r="G180">
        <v>1377</v>
      </c>
      <c r="H180">
        <v>1531</v>
      </c>
    </row>
    <row r="181" spans="1:8" ht="12.75">
      <c r="A181" t="str">
        <f t="shared" si="40"/>
        <v>PakistanAONE</v>
      </c>
      <c r="B181" t="s">
        <v>1399</v>
      </c>
      <c r="C181" t="s">
        <v>1276</v>
      </c>
      <c r="D181" t="s">
        <v>585</v>
      </c>
      <c r="E181">
        <v>457400</v>
      </c>
      <c r="F181">
        <v>509850</v>
      </c>
      <c r="G181">
        <v>586300</v>
      </c>
      <c r="H181">
        <v>654500</v>
      </c>
    </row>
    <row r="182" spans="1:8" ht="12.75">
      <c r="A182" t="str">
        <f t="shared" si="40"/>
        <v>PakistanDONE</v>
      </c>
      <c r="B182" t="s">
        <v>1399</v>
      </c>
      <c r="C182" t="s">
        <v>1276</v>
      </c>
      <c r="D182" t="s">
        <v>586</v>
      </c>
      <c r="E182">
        <v>272500</v>
      </c>
      <c r="F182">
        <v>309600</v>
      </c>
      <c r="G182">
        <v>356100</v>
      </c>
      <c r="H182">
        <v>409500</v>
      </c>
    </row>
    <row r="183" spans="1:8" ht="12.75">
      <c r="A183" t="str">
        <f t="shared" si="40"/>
        <v>PakistanLONE</v>
      </c>
      <c r="B183" t="s">
        <v>1399</v>
      </c>
      <c r="C183" t="s">
        <v>1276</v>
      </c>
      <c r="D183" t="s">
        <v>587</v>
      </c>
      <c r="E183">
        <v>145500</v>
      </c>
      <c r="F183">
        <v>174700</v>
      </c>
      <c r="G183">
        <v>200900</v>
      </c>
      <c r="H183">
        <v>231000</v>
      </c>
    </row>
    <row r="184" spans="1:8" ht="12.75">
      <c r="A184" t="str">
        <f t="shared" si="40"/>
        <v>PhilippinesAONE</v>
      </c>
      <c r="B184" t="s">
        <v>1400</v>
      </c>
      <c r="C184" t="s">
        <v>1251</v>
      </c>
      <c r="D184" t="s">
        <v>585</v>
      </c>
      <c r="E184">
        <v>7479</v>
      </c>
      <c r="F184">
        <v>8583</v>
      </c>
      <c r="G184">
        <v>9870</v>
      </c>
      <c r="H184">
        <v>11140</v>
      </c>
    </row>
    <row r="185" spans="1:8" ht="12.75">
      <c r="A185" t="str">
        <f t="shared" si="40"/>
        <v>PhilippinesDONE</v>
      </c>
      <c r="B185" t="s">
        <v>1400</v>
      </c>
      <c r="C185" t="s">
        <v>1251</v>
      </c>
      <c r="D185" t="s">
        <v>586</v>
      </c>
      <c r="E185">
        <v>5409</v>
      </c>
      <c r="F185">
        <v>6193</v>
      </c>
      <c r="G185">
        <v>7122</v>
      </c>
      <c r="H185">
        <v>8032</v>
      </c>
    </row>
    <row r="186" spans="1:8" ht="12.75">
      <c r="A186" t="str">
        <f t="shared" si="40"/>
        <v>PhilippinesLONE</v>
      </c>
      <c r="B186" t="s">
        <v>1400</v>
      </c>
      <c r="C186" t="s">
        <v>1251</v>
      </c>
      <c r="D186" t="s">
        <v>587</v>
      </c>
      <c r="E186">
        <v>2852</v>
      </c>
      <c r="F186">
        <v>3423</v>
      </c>
      <c r="G186">
        <v>3937</v>
      </c>
      <c r="H186">
        <v>4527</v>
      </c>
    </row>
    <row r="187" spans="1:8" ht="12.75">
      <c r="A187" t="str">
        <f t="shared" si="40"/>
        <v>PortugalAONE</v>
      </c>
      <c r="B187" t="s">
        <v>1006</v>
      </c>
      <c r="C187" t="s">
        <v>1308</v>
      </c>
      <c r="D187" t="s">
        <v>585</v>
      </c>
      <c r="E187">
        <v>7140</v>
      </c>
      <c r="F187">
        <v>7875</v>
      </c>
      <c r="G187">
        <v>8820</v>
      </c>
      <c r="H187">
        <v>9975</v>
      </c>
    </row>
    <row r="188" spans="1:8" ht="12.75">
      <c r="A188" t="str">
        <f t="shared" si="40"/>
        <v>PortugalDONE</v>
      </c>
      <c r="B188" t="s">
        <v>1006</v>
      </c>
      <c r="C188" t="s">
        <v>1308</v>
      </c>
      <c r="D188" t="s">
        <v>586</v>
      </c>
      <c r="E188">
        <v>4725</v>
      </c>
      <c r="F188">
        <v>5250</v>
      </c>
      <c r="G188">
        <v>5880</v>
      </c>
      <c r="H188">
        <v>6720</v>
      </c>
    </row>
    <row r="189" spans="1:8" ht="12.75">
      <c r="A189" t="str">
        <f t="shared" si="40"/>
        <v>PortugalLONE</v>
      </c>
      <c r="B189" t="s">
        <v>1006</v>
      </c>
      <c r="C189" t="s">
        <v>1308</v>
      </c>
      <c r="D189" t="s">
        <v>587</v>
      </c>
      <c r="E189">
        <v>2000</v>
      </c>
      <c r="F189">
        <v>2400</v>
      </c>
      <c r="G189">
        <v>2900</v>
      </c>
      <c r="H189">
        <v>3400</v>
      </c>
    </row>
    <row r="190" spans="1:8" ht="12.75">
      <c r="A190" t="str">
        <f t="shared" si="40"/>
        <v>QatarAONE</v>
      </c>
      <c r="B190" t="s">
        <v>1024</v>
      </c>
      <c r="C190" t="s">
        <v>1348</v>
      </c>
      <c r="D190" t="s">
        <v>585</v>
      </c>
      <c r="E190">
        <v>25190</v>
      </c>
      <c r="F190">
        <v>28840</v>
      </c>
      <c r="G190">
        <v>32490</v>
      </c>
      <c r="H190">
        <v>36140</v>
      </c>
    </row>
    <row r="191" spans="1:8" ht="12.75">
      <c r="A191" t="str">
        <f t="shared" si="40"/>
        <v>QatarDONE</v>
      </c>
      <c r="B191" t="s">
        <v>1024</v>
      </c>
      <c r="C191" t="s">
        <v>1348</v>
      </c>
      <c r="D191" t="s">
        <v>586</v>
      </c>
      <c r="E191">
        <v>19710</v>
      </c>
      <c r="F191">
        <v>22630</v>
      </c>
      <c r="G191">
        <v>25550</v>
      </c>
      <c r="H191">
        <v>28470</v>
      </c>
    </row>
    <row r="192" spans="1:8" ht="12.75">
      <c r="A192" t="str">
        <f t="shared" si="40"/>
        <v>QatarLONE</v>
      </c>
      <c r="B192" t="s">
        <v>1024</v>
      </c>
      <c r="C192" t="s">
        <v>1348</v>
      </c>
      <c r="D192" t="s">
        <v>587</v>
      </c>
      <c r="E192">
        <v>10100</v>
      </c>
      <c r="F192">
        <v>11560</v>
      </c>
      <c r="G192">
        <v>13010</v>
      </c>
      <c r="H192">
        <v>14470</v>
      </c>
    </row>
    <row r="193" spans="1:8" ht="12.75">
      <c r="A193" t="str">
        <f t="shared" si="40"/>
        <v>Saudi ArabiaAONE</v>
      </c>
      <c r="B193" t="s">
        <v>1025</v>
      </c>
      <c r="C193" t="s">
        <v>1349</v>
      </c>
      <c r="D193" t="s">
        <v>585</v>
      </c>
      <c r="E193">
        <v>25890</v>
      </c>
      <c r="F193">
        <v>29640</v>
      </c>
      <c r="G193">
        <v>33390</v>
      </c>
      <c r="H193">
        <v>37140</v>
      </c>
    </row>
    <row r="194" spans="1:8" ht="12.75">
      <c r="A194" t="str">
        <f t="shared" si="40"/>
        <v>Saudi ArabiaDONE</v>
      </c>
      <c r="B194" t="s">
        <v>1025</v>
      </c>
      <c r="C194" t="s">
        <v>1349</v>
      </c>
      <c r="D194" t="s">
        <v>586</v>
      </c>
      <c r="E194">
        <v>20260</v>
      </c>
      <c r="F194">
        <v>23260</v>
      </c>
      <c r="G194">
        <v>26260</v>
      </c>
      <c r="H194">
        <v>29260</v>
      </c>
    </row>
    <row r="195" spans="1:8" ht="12.75">
      <c r="A195" t="str">
        <f t="shared" si="40"/>
        <v>Saudi ArabiaLONE</v>
      </c>
      <c r="B195" t="s">
        <v>1025</v>
      </c>
      <c r="C195" t="s">
        <v>1349</v>
      </c>
      <c r="D195" t="s">
        <v>587</v>
      </c>
      <c r="E195">
        <v>10400</v>
      </c>
      <c r="F195">
        <v>11900</v>
      </c>
      <c r="G195">
        <v>13400</v>
      </c>
      <c r="H195">
        <v>14900</v>
      </c>
    </row>
    <row r="196" spans="1:8" ht="12.75">
      <c r="A196" t="str">
        <f t="shared" si="40"/>
        <v>SingaporeAONE</v>
      </c>
      <c r="B196" t="s">
        <v>1401</v>
      </c>
      <c r="C196" t="s">
        <v>1277</v>
      </c>
      <c r="D196" t="s">
        <v>585</v>
      </c>
      <c r="E196">
        <v>14670</v>
      </c>
      <c r="F196">
        <v>15730</v>
      </c>
      <c r="G196">
        <v>18093</v>
      </c>
      <c r="H196">
        <v>20800</v>
      </c>
    </row>
    <row r="197" spans="1:8" ht="12.75">
      <c r="A197" t="str">
        <f t="shared" si="40"/>
        <v>SingaporeDONE</v>
      </c>
      <c r="B197" t="s">
        <v>1401</v>
      </c>
      <c r="C197" t="s">
        <v>1277</v>
      </c>
      <c r="D197" t="s">
        <v>586</v>
      </c>
      <c r="E197">
        <v>9900</v>
      </c>
      <c r="F197">
        <v>11128</v>
      </c>
      <c r="G197">
        <v>12808</v>
      </c>
      <c r="H197">
        <v>14304</v>
      </c>
    </row>
    <row r="198" spans="1:8" ht="12.75">
      <c r="A198" t="str">
        <f t="shared" si="40"/>
        <v>SingaporeLONE</v>
      </c>
      <c r="B198" t="s">
        <v>1401</v>
      </c>
      <c r="C198" t="s">
        <v>1277</v>
      </c>
      <c r="D198" t="s">
        <v>587</v>
      </c>
      <c r="E198">
        <v>4860</v>
      </c>
      <c r="F198">
        <v>5365</v>
      </c>
      <c r="G198">
        <v>6170</v>
      </c>
      <c r="H198">
        <v>7713</v>
      </c>
    </row>
    <row r="199" spans="1:8" ht="12.75">
      <c r="A199" t="str">
        <f t="shared" si="40"/>
        <v>South AfricaAONE</v>
      </c>
      <c r="B199" t="s">
        <v>1386</v>
      </c>
      <c r="C199" t="s">
        <v>1257</v>
      </c>
      <c r="D199" t="s">
        <v>585</v>
      </c>
      <c r="E199">
        <v>0</v>
      </c>
      <c r="F199">
        <v>59960</v>
      </c>
      <c r="G199">
        <v>64990</v>
      </c>
      <c r="H199">
        <v>69990</v>
      </c>
    </row>
    <row r="200" spans="1:8" ht="12.75">
      <c r="A200" t="str">
        <f t="shared" si="40"/>
        <v>South AfricaDONE</v>
      </c>
      <c r="B200" t="s">
        <v>1386</v>
      </c>
      <c r="C200" t="s">
        <v>1257</v>
      </c>
      <c r="D200" t="s">
        <v>586</v>
      </c>
      <c r="E200">
        <v>0</v>
      </c>
      <c r="F200">
        <v>41440</v>
      </c>
      <c r="G200">
        <v>44990</v>
      </c>
      <c r="H200">
        <v>49990</v>
      </c>
    </row>
    <row r="201" spans="1:8" ht="12.75">
      <c r="A201" t="str">
        <f t="shared" si="40"/>
        <v>South AfricaLONE</v>
      </c>
      <c r="B201" t="s">
        <v>1386</v>
      </c>
      <c r="C201" t="s">
        <v>1257</v>
      </c>
      <c r="D201" t="s">
        <v>587</v>
      </c>
      <c r="E201">
        <v>0</v>
      </c>
      <c r="F201">
        <v>19990</v>
      </c>
      <c r="G201">
        <v>24990</v>
      </c>
      <c r="H201">
        <v>29990</v>
      </c>
    </row>
    <row r="202" spans="1:8" ht="12.75">
      <c r="A202" t="str">
        <f t="shared" si="40"/>
        <v>South AmericaAONE</v>
      </c>
      <c r="B202" t="s">
        <v>1031</v>
      </c>
      <c r="C202" t="s">
        <v>1251</v>
      </c>
      <c r="D202" t="s">
        <v>585</v>
      </c>
      <c r="E202">
        <v>0</v>
      </c>
      <c r="F202">
        <v>8900</v>
      </c>
      <c r="G202">
        <v>10000</v>
      </c>
      <c r="H202">
        <v>11500</v>
      </c>
    </row>
    <row r="203" spans="1:8" ht="12.75">
      <c r="A203" t="str">
        <f t="shared" si="40"/>
        <v>South AmericaDONE</v>
      </c>
      <c r="B203" t="s">
        <v>1031</v>
      </c>
      <c r="C203" t="s">
        <v>1251</v>
      </c>
      <c r="D203" t="s">
        <v>586</v>
      </c>
      <c r="E203">
        <v>0</v>
      </c>
      <c r="F203">
        <v>7100</v>
      </c>
      <c r="G203">
        <v>8000</v>
      </c>
      <c r="H203">
        <v>9400</v>
      </c>
    </row>
    <row r="204" spans="1:8" ht="12.75">
      <c r="A204" t="str">
        <f t="shared" si="40"/>
        <v>South AmericaLONE</v>
      </c>
      <c r="B204" t="s">
        <v>1031</v>
      </c>
      <c r="C204" t="s">
        <v>1251</v>
      </c>
      <c r="D204" t="s">
        <v>587</v>
      </c>
      <c r="E204">
        <v>0</v>
      </c>
      <c r="F204">
        <v>2950</v>
      </c>
      <c r="G204">
        <v>3500</v>
      </c>
      <c r="H204">
        <v>3900</v>
      </c>
    </row>
    <row r="205" spans="1:8" ht="12.75">
      <c r="A205" t="str">
        <f t="shared" si="40"/>
        <v>SpainAONE</v>
      </c>
      <c r="B205" t="s">
        <v>1009</v>
      </c>
      <c r="C205" t="s">
        <v>1308</v>
      </c>
      <c r="D205" t="s">
        <v>585</v>
      </c>
      <c r="E205">
        <v>7140</v>
      </c>
      <c r="F205">
        <v>7875</v>
      </c>
      <c r="G205">
        <v>8820</v>
      </c>
      <c r="H205">
        <v>9975</v>
      </c>
    </row>
    <row r="206" spans="1:8" ht="12.75">
      <c r="A206" t="str">
        <f t="shared" si="40"/>
        <v>SpainDONE</v>
      </c>
      <c r="B206" t="s">
        <v>1009</v>
      </c>
      <c r="C206" t="s">
        <v>1308</v>
      </c>
      <c r="D206" t="s">
        <v>586</v>
      </c>
      <c r="E206">
        <v>4725</v>
      </c>
      <c r="F206">
        <v>5250</v>
      </c>
      <c r="G206">
        <v>5880</v>
      </c>
      <c r="H206">
        <v>6720</v>
      </c>
    </row>
    <row r="207" spans="1:8" ht="12.75">
      <c r="A207" t="str">
        <f t="shared" si="40"/>
        <v>SpainLONE</v>
      </c>
      <c r="B207" t="s">
        <v>1009</v>
      </c>
      <c r="C207" t="s">
        <v>1308</v>
      </c>
      <c r="D207" t="s">
        <v>587</v>
      </c>
      <c r="E207">
        <v>2000</v>
      </c>
      <c r="F207">
        <v>2400</v>
      </c>
      <c r="G207">
        <v>2900</v>
      </c>
      <c r="H207">
        <v>3400</v>
      </c>
    </row>
    <row r="208" spans="1:8" ht="12.75">
      <c r="A208" t="str">
        <f t="shared" si="40"/>
        <v>Sri LankaAONE</v>
      </c>
      <c r="B208" t="s">
        <v>1402</v>
      </c>
      <c r="C208" t="s">
        <v>1278</v>
      </c>
      <c r="D208" t="s">
        <v>585</v>
      </c>
      <c r="E208">
        <v>769400</v>
      </c>
      <c r="F208">
        <v>821100</v>
      </c>
      <c r="G208">
        <v>944300</v>
      </c>
      <c r="H208">
        <v>1085600</v>
      </c>
    </row>
    <row r="209" spans="1:8" ht="12.75">
      <c r="A209" t="str">
        <f t="shared" si="40"/>
        <v>Sri LankaDONE</v>
      </c>
      <c r="B209" t="s">
        <v>1402</v>
      </c>
      <c r="C209" t="s">
        <v>1278</v>
      </c>
      <c r="D209" t="s">
        <v>586</v>
      </c>
      <c r="E209">
        <v>458900</v>
      </c>
      <c r="F209">
        <v>523200</v>
      </c>
      <c r="G209">
        <v>601600</v>
      </c>
      <c r="H209">
        <v>685150</v>
      </c>
    </row>
    <row r="210" spans="1:8" ht="12.75">
      <c r="A210" t="str">
        <f t="shared" si="40"/>
        <v>Sri LankaLONE</v>
      </c>
      <c r="B210" t="s">
        <v>1402</v>
      </c>
      <c r="C210" t="s">
        <v>1278</v>
      </c>
      <c r="D210" t="s">
        <v>587</v>
      </c>
      <c r="E210">
        <v>223400</v>
      </c>
      <c r="F210">
        <v>268000</v>
      </c>
      <c r="G210">
        <v>308400</v>
      </c>
      <c r="H210">
        <v>354500</v>
      </c>
    </row>
    <row r="211" spans="1:8" ht="12.75">
      <c r="A211" t="str">
        <f t="shared" si="40"/>
        <v>SwedenAONE</v>
      </c>
      <c r="B211" t="s">
        <v>1010</v>
      </c>
      <c r="C211" t="s">
        <v>1324</v>
      </c>
      <c r="D211" t="s">
        <v>585</v>
      </c>
      <c r="E211">
        <v>65730</v>
      </c>
      <c r="F211">
        <v>72450</v>
      </c>
      <c r="G211">
        <v>81165</v>
      </c>
      <c r="H211">
        <v>91770</v>
      </c>
    </row>
    <row r="212" spans="1:8" ht="12.75">
      <c r="A212" t="str">
        <f t="shared" si="40"/>
        <v>SwedenDONE</v>
      </c>
      <c r="B212" t="s">
        <v>1010</v>
      </c>
      <c r="C212" t="s">
        <v>1324</v>
      </c>
      <c r="D212" t="s">
        <v>586</v>
      </c>
      <c r="E212">
        <v>41400</v>
      </c>
      <c r="F212">
        <v>46000</v>
      </c>
      <c r="G212">
        <v>51500</v>
      </c>
      <c r="H212">
        <v>58900</v>
      </c>
    </row>
    <row r="213" spans="1:8" ht="12.75">
      <c r="A213" t="str">
        <f t="shared" si="40"/>
        <v>SwedenLONE</v>
      </c>
      <c r="B213" t="s">
        <v>1010</v>
      </c>
      <c r="C213" t="s">
        <v>1324</v>
      </c>
      <c r="D213" t="s">
        <v>587</v>
      </c>
      <c r="E213">
        <v>17480</v>
      </c>
      <c r="F213">
        <v>20995</v>
      </c>
      <c r="G213">
        <v>25365</v>
      </c>
      <c r="H213">
        <v>29735</v>
      </c>
    </row>
    <row r="214" spans="1:8" ht="12.75">
      <c r="A214" t="str">
        <f t="shared" si="40"/>
        <v>SwitzerlandAONE</v>
      </c>
      <c r="B214" t="s">
        <v>1011</v>
      </c>
      <c r="C214" t="s">
        <v>1325</v>
      </c>
      <c r="D214" t="s">
        <v>585</v>
      </c>
      <c r="E214">
        <v>11129</v>
      </c>
      <c r="F214">
        <v>12284</v>
      </c>
      <c r="G214">
        <v>13754</v>
      </c>
      <c r="H214">
        <v>15434</v>
      </c>
    </row>
    <row r="215" spans="1:8" ht="12.75">
      <c r="A215" t="str">
        <f t="shared" si="40"/>
        <v>SwitzerlandDONE</v>
      </c>
      <c r="B215" t="s">
        <v>1011</v>
      </c>
      <c r="C215" t="s">
        <v>1325</v>
      </c>
      <c r="D215" t="s">
        <v>586</v>
      </c>
      <c r="E215">
        <v>7099</v>
      </c>
      <c r="F215">
        <v>7899</v>
      </c>
      <c r="G215">
        <v>8799</v>
      </c>
      <c r="H215">
        <v>9999</v>
      </c>
    </row>
    <row r="216" spans="1:8" ht="12.75">
      <c r="A216" t="str">
        <f t="shared" si="40"/>
        <v>SwitzerlandLONE</v>
      </c>
      <c r="B216" t="s">
        <v>1011</v>
      </c>
      <c r="C216" t="s">
        <v>1325</v>
      </c>
      <c r="D216" t="s">
        <v>587</v>
      </c>
      <c r="E216">
        <v>3299</v>
      </c>
      <c r="F216">
        <v>3899</v>
      </c>
      <c r="G216">
        <v>4599</v>
      </c>
      <c r="H216">
        <v>5399</v>
      </c>
    </row>
    <row r="217" spans="1:8" ht="12.75">
      <c r="A217" t="str">
        <f t="shared" si="40"/>
        <v>TaiwanAONE</v>
      </c>
      <c r="B217" t="s">
        <v>1403</v>
      </c>
      <c r="C217" t="s">
        <v>1279</v>
      </c>
      <c r="D217" t="s">
        <v>585</v>
      </c>
      <c r="E217">
        <v>248600</v>
      </c>
      <c r="F217">
        <v>283779</v>
      </c>
      <c r="G217">
        <v>326345</v>
      </c>
      <c r="H217">
        <v>368346</v>
      </c>
    </row>
    <row r="218" spans="1:8" ht="12.75">
      <c r="A218" t="str">
        <f t="shared" si="40"/>
        <v>TaiwanDONE</v>
      </c>
      <c r="B218" t="s">
        <v>1403</v>
      </c>
      <c r="C218" t="s">
        <v>1279</v>
      </c>
      <c r="D218" t="s">
        <v>586</v>
      </c>
      <c r="E218">
        <v>173000</v>
      </c>
      <c r="F218">
        <v>196906</v>
      </c>
      <c r="G218">
        <v>226443</v>
      </c>
      <c r="H218">
        <v>260408</v>
      </c>
    </row>
    <row r="219" spans="1:8" ht="12.75">
      <c r="A219" t="str">
        <f t="shared" si="40"/>
        <v>TaiwanLONE</v>
      </c>
      <c r="B219" t="s">
        <v>1403</v>
      </c>
      <c r="C219" t="s">
        <v>1279</v>
      </c>
      <c r="D219" t="s">
        <v>587</v>
      </c>
      <c r="E219">
        <v>80903</v>
      </c>
      <c r="F219">
        <v>97083</v>
      </c>
      <c r="G219">
        <v>111647</v>
      </c>
      <c r="H219">
        <v>128395</v>
      </c>
    </row>
    <row r="220" spans="1:8" ht="12.75">
      <c r="A220" t="str">
        <f t="shared" si="40"/>
        <v>ThailandAONE</v>
      </c>
      <c r="B220" t="s">
        <v>1404</v>
      </c>
      <c r="C220" t="s">
        <v>1281</v>
      </c>
      <c r="D220" t="s">
        <v>585</v>
      </c>
      <c r="E220">
        <v>299540</v>
      </c>
      <c r="F220">
        <v>338490</v>
      </c>
      <c r="G220">
        <v>387725</v>
      </c>
      <c r="H220">
        <v>424450</v>
      </c>
    </row>
    <row r="221" spans="1:8" ht="12.75">
      <c r="A221" t="str">
        <f t="shared" si="40"/>
        <v>ThailandDONE</v>
      </c>
      <c r="B221" t="s">
        <v>1404</v>
      </c>
      <c r="C221" t="s">
        <v>1281</v>
      </c>
      <c r="D221" t="s">
        <v>586</v>
      </c>
      <c r="E221">
        <v>208930</v>
      </c>
      <c r="F221">
        <v>238765</v>
      </c>
      <c r="G221">
        <v>274570</v>
      </c>
      <c r="H221">
        <v>299450</v>
      </c>
    </row>
    <row r="222" spans="1:8" ht="12.75">
      <c r="A222" t="str">
        <f t="shared" si="40"/>
        <v>ThailandLONE</v>
      </c>
      <c r="B222" t="s">
        <v>1404</v>
      </c>
      <c r="C222" t="s">
        <v>1281</v>
      </c>
      <c r="D222" t="s">
        <v>587</v>
      </c>
      <c r="E222">
        <v>100965</v>
      </c>
      <c r="F222">
        <v>121160</v>
      </c>
      <c r="G222">
        <v>139330</v>
      </c>
      <c r="H222">
        <v>160230</v>
      </c>
    </row>
    <row r="223" spans="1:8" ht="12.75">
      <c r="A223" t="str">
        <f t="shared" si="40"/>
        <v>TurkeyAONE</v>
      </c>
      <c r="B223" t="s">
        <v>1013</v>
      </c>
      <c r="C223" t="s">
        <v>1308</v>
      </c>
      <c r="D223" t="s">
        <v>585</v>
      </c>
      <c r="E223">
        <v>5491</v>
      </c>
      <c r="F223">
        <v>6362</v>
      </c>
      <c r="G223">
        <v>7321</v>
      </c>
      <c r="H223">
        <v>8367</v>
      </c>
    </row>
    <row r="224" spans="1:8" ht="12.75">
      <c r="A224" t="str">
        <f t="shared" si="40"/>
        <v>TurkeyDONE</v>
      </c>
      <c r="B224" t="s">
        <v>1013</v>
      </c>
      <c r="C224" t="s">
        <v>1308</v>
      </c>
      <c r="D224" t="s">
        <v>586</v>
      </c>
      <c r="E224">
        <v>3835</v>
      </c>
      <c r="F224">
        <v>4358</v>
      </c>
      <c r="G224">
        <v>4968</v>
      </c>
      <c r="H224">
        <v>5665</v>
      </c>
    </row>
    <row r="225" spans="1:8" ht="12.75">
      <c r="A225" t="str">
        <f t="shared" si="40"/>
        <v>TurkeyLONE</v>
      </c>
      <c r="B225" t="s">
        <v>1013</v>
      </c>
      <c r="C225" t="s">
        <v>1308</v>
      </c>
      <c r="D225" t="s">
        <v>587</v>
      </c>
      <c r="E225">
        <v>1909</v>
      </c>
      <c r="F225">
        <v>2158</v>
      </c>
      <c r="G225">
        <v>2573</v>
      </c>
      <c r="H225">
        <v>3071</v>
      </c>
    </row>
    <row r="226" spans="1:8" ht="12.75">
      <c r="A226" t="str">
        <f aca="true" t="shared" si="41" ref="A226:A241">B226&amp;LEFT(D226,4)</f>
        <v>United Arab EmiratesAONE</v>
      </c>
      <c r="B226" t="s">
        <v>1027</v>
      </c>
      <c r="C226" t="s">
        <v>1351</v>
      </c>
      <c r="D226" t="s">
        <v>585</v>
      </c>
      <c r="E226">
        <v>25210</v>
      </c>
      <c r="F226">
        <v>28860</v>
      </c>
      <c r="G226">
        <v>32520</v>
      </c>
      <c r="H226">
        <v>36170</v>
      </c>
    </row>
    <row r="227" spans="1:8" ht="12.75">
      <c r="A227" t="str">
        <f t="shared" si="41"/>
        <v>United Arab EmiratesDONE</v>
      </c>
      <c r="B227" t="s">
        <v>1027</v>
      </c>
      <c r="C227" t="s">
        <v>1351</v>
      </c>
      <c r="D227" t="s">
        <v>586</v>
      </c>
      <c r="E227">
        <v>19730</v>
      </c>
      <c r="F227">
        <v>22650</v>
      </c>
      <c r="G227">
        <v>25580</v>
      </c>
      <c r="H227">
        <v>28500</v>
      </c>
    </row>
    <row r="228" spans="1:8" ht="12.75">
      <c r="A228" t="str">
        <f t="shared" si="41"/>
        <v>United Arab EmiratesLONE</v>
      </c>
      <c r="B228" t="s">
        <v>1027</v>
      </c>
      <c r="C228" t="s">
        <v>1351</v>
      </c>
      <c r="D228" t="s">
        <v>587</v>
      </c>
      <c r="E228">
        <v>10200</v>
      </c>
      <c r="F228">
        <v>11600</v>
      </c>
      <c r="G228">
        <v>13200</v>
      </c>
      <c r="H228">
        <v>14600</v>
      </c>
    </row>
    <row r="229" spans="1:8" ht="12.75">
      <c r="A229" t="str">
        <f t="shared" si="41"/>
        <v>United KingdomAONE</v>
      </c>
      <c r="B229" t="s">
        <v>1015</v>
      </c>
      <c r="C229" t="s">
        <v>1330</v>
      </c>
      <c r="D229" t="s">
        <v>585</v>
      </c>
      <c r="E229">
        <v>6635</v>
      </c>
      <c r="F229">
        <v>6950</v>
      </c>
      <c r="G229">
        <v>7790</v>
      </c>
      <c r="H229">
        <v>8105</v>
      </c>
    </row>
    <row r="230" spans="1:8" ht="12.75">
      <c r="A230" t="str">
        <f t="shared" si="41"/>
        <v>United KingdomDONE</v>
      </c>
      <c r="B230" t="s">
        <v>1015</v>
      </c>
      <c r="C230" t="s">
        <v>1330</v>
      </c>
      <c r="D230" t="s">
        <v>586</v>
      </c>
      <c r="E230">
        <v>3905</v>
      </c>
      <c r="F230">
        <v>4745</v>
      </c>
      <c r="G230">
        <v>5165</v>
      </c>
      <c r="H230">
        <v>5585</v>
      </c>
    </row>
    <row r="231" spans="1:8" ht="12.75">
      <c r="A231" t="str">
        <f t="shared" si="41"/>
        <v>United KingdomLONE</v>
      </c>
      <c r="B231" t="s">
        <v>1015</v>
      </c>
      <c r="C231" t="s">
        <v>1330</v>
      </c>
      <c r="D231" t="s">
        <v>587</v>
      </c>
      <c r="E231">
        <v>1169</v>
      </c>
      <c r="F231">
        <v>1319</v>
      </c>
      <c r="G231">
        <v>1719</v>
      </c>
      <c r="H231">
        <v>1919</v>
      </c>
    </row>
    <row r="232" spans="1:8" ht="12.75">
      <c r="A232" t="str">
        <f t="shared" si="41"/>
        <v>ZambiaAONE</v>
      </c>
      <c r="B232" t="s">
        <v>1389</v>
      </c>
      <c r="C232" t="s">
        <v>1251</v>
      </c>
      <c r="D232" t="s">
        <v>585</v>
      </c>
      <c r="E232">
        <v>0</v>
      </c>
      <c r="F232">
        <v>6299</v>
      </c>
      <c r="G232">
        <v>7199</v>
      </c>
      <c r="H232">
        <v>8199</v>
      </c>
    </row>
    <row r="233" spans="1:8" ht="12.75">
      <c r="A233" t="str">
        <f t="shared" si="41"/>
        <v>ZambiaDONE</v>
      </c>
      <c r="B233" t="s">
        <v>1389</v>
      </c>
      <c r="C233" t="s">
        <v>1251</v>
      </c>
      <c r="D233" t="s">
        <v>586</v>
      </c>
      <c r="E233">
        <v>0</v>
      </c>
      <c r="F233">
        <v>5399</v>
      </c>
      <c r="G233">
        <v>6099</v>
      </c>
      <c r="H233">
        <v>7099</v>
      </c>
    </row>
    <row r="234" spans="1:8" ht="12.75">
      <c r="A234" t="str">
        <f t="shared" si="41"/>
        <v>ZambiaLONE</v>
      </c>
      <c r="B234" t="s">
        <v>1389</v>
      </c>
      <c r="C234" t="s">
        <v>1251</v>
      </c>
      <c r="D234" t="s">
        <v>587</v>
      </c>
      <c r="E234">
        <v>0</v>
      </c>
      <c r="F234">
        <v>2699</v>
      </c>
      <c r="G234">
        <v>3099</v>
      </c>
      <c r="H234">
        <v>3699</v>
      </c>
    </row>
    <row r="235" spans="1:8" ht="12.75">
      <c r="A235" t="str">
        <f t="shared" si="41"/>
        <v>ZimbabweAONE</v>
      </c>
      <c r="B235" t="s">
        <v>1390</v>
      </c>
      <c r="C235" t="s">
        <v>1251</v>
      </c>
      <c r="D235" t="s">
        <v>585</v>
      </c>
      <c r="E235">
        <v>0</v>
      </c>
      <c r="F235">
        <v>6299</v>
      </c>
      <c r="G235">
        <v>7199</v>
      </c>
      <c r="H235">
        <v>8199</v>
      </c>
    </row>
    <row r="236" spans="1:8" ht="12.75">
      <c r="A236" t="str">
        <f t="shared" si="41"/>
        <v>ZimbabweDONE</v>
      </c>
      <c r="B236" t="s">
        <v>1390</v>
      </c>
      <c r="C236" t="s">
        <v>1251</v>
      </c>
      <c r="D236" t="s">
        <v>586</v>
      </c>
      <c r="E236">
        <v>0</v>
      </c>
      <c r="F236">
        <v>5399</v>
      </c>
      <c r="G236">
        <v>6099</v>
      </c>
      <c r="H236">
        <v>7099</v>
      </c>
    </row>
    <row r="237" spans="1:8" ht="12.75">
      <c r="A237" t="str">
        <f t="shared" si="41"/>
        <v>ZimbabweLONE</v>
      </c>
      <c r="B237" t="s">
        <v>1390</v>
      </c>
      <c r="C237" t="s">
        <v>1251</v>
      </c>
      <c r="D237" t="s">
        <v>587</v>
      </c>
      <c r="E237">
        <v>0</v>
      </c>
      <c r="F237">
        <v>2699</v>
      </c>
      <c r="G237">
        <v>3099</v>
      </c>
      <c r="H237">
        <v>3699</v>
      </c>
    </row>
    <row r="238" ht="12.75">
      <c r="A238">
        <f t="shared" si="41"/>
      </c>
    </row>
    <row r="239" ht="12.75">
      <c r="A239">
        <f t="shared" si="41"/>
      </c>
    </row>
    <row r="240" ht="12.75">
      <c r="A240">
        <f t="shared" si="41"/>
      </c>
    </row>
    <row r="241" ht="12.75">
      <c r="A241">
        <f t="shared" si="41"/>
      </c>
    </row>
    <row r="244" spans="2:16" ht="12.75">
      <c r="B244" s="31" t="s">
        <v>589</v>
      </c>
      <c r="E244">
        <v>3</v>
      </c>
      <c r="F244">
        <v>4</v>
      </c>
      <c r="G244">
        <v>5</v>
      </c>
      <c r="H244">
        <v>6</v>
      </c>
      <c r="I244">
        <v>3</v>
      </c>
      <c r="J244">
        <v>4</v>
      </c>
      <c r="K244">
        <v>5</v>
      </c>
      <c r="L244">
        <v>6</v>
      </c>
      <c r="M244">
        <v>3</v>
      </c>
      <c r="N244">
        <v>4</v>
      </c>
      <c r="O244">
        <v>5</v>
      </c>
      <c r="P244">
        <v>6</v>
      </c>
    </row>
    <row r="246" spans="2:16" ht="12.75">
      <c r="B246" t="s">
        <v>1582</v>
      </c>
      <c r="C246" t="s">
        <v>1583</v>
      </c>
      <c r="D246">
        <v>177.72</v>
      </c>
      <c r="F246">
        <v>980228</v>
      </c>
      <c r="G246">
        <v>1117828</v>
      </c>
      <c r="H246">
        <v>1272628</v>
      </c>
      <c r="J246">
        <v>808228</v>
      </c>
      <c r="K246">
        <v>945828</v>
      </c>
      <c r="L246">
        <v>1100628</v>
      </c>
      <c r="N246">
        <v>447028</v>
      </c>
      <c r="O246">
        <v>515828</v>
      </c>
      <c r="P246">
        <v>601828</v>
      </c>
    </row>
    <row r="247" spans="2:16" ht="12.75">
      <c r="B247" t="s">
        <v>1584</v>
      </c>
      <c r="C247" t="s">
        <v>1251</v>
      </c>
      <c r="D247">
        <v>1</v>
      </c>
      <c r="F247">
        <v>6299</v>
      </c>
      <c r="G247">
        <v>7199</v>
      </c>
      <c r="H247">
        <v>8199</v>
      </c>
      <c r="J247">
        <v>5399</v>
      </c>
      <c r="K247">
        <v>6099</v>
      </c>
      <c r="L247">
        <v>7099</v>
      </c>
      <c r="N247">
        <v>2699</v>
      </c>
      <c r="O247">
        <v>3099</v>
      </c>
      <c r="P247">
        <v>3699</v>
      </c>
    </row>
    <row r="248" spans="2:16" ht="12.75">
      <c r="B248" t="s">
        <v>1252</v>
      </c>
      <c r="C248" t="s">
        <v>1251</v>
      </c>
      <c r="D248">
        <v>1</v>
      </c>
      <c r="F248">
        <v>8135</v>
      </c>
      <c r="G248">
        <v>8700</v>
      </c>
      <c r="H248">
        <v>9830</v>
      </c>
      <c r="J248">
        <v>6779</v>
      </c>
      <c r="K248">
        <v>7344</v>
      </c>
      <c r="L248">
        <v>7909</v>
      </c>
      <c r="N248">
        <v>3051</v>
      </c>
      <c r="O248">
        <v>3503</v>
      </c>
      <c r="P248">
        <v>3955</v>
      </c>
    </row>
    <row r="249" spans="2:16" ht="12.75">
      <c r="B249" t="s">
        <v>1253</v>
      </c>
      <c r="C249" t="s">
        <v>1251</v>
      </c>
      <c r="D249">
        <v>1</v>
      </c>
      <c r="F249">
        <v>6299</v>
      </c>
      <c r="G249">
        <v>7199</v>
      </c>
      <c r="H249">
        <v>8199</v>
      </c>
      <c r="J249">
        <v>5399</v>
      </c>
      <c r="K249">
        <v>6099</v>
      </c>
      <c r="L249">
        <v>7099</v>
      </c>
      <c r="N249">
        <v>2699</v>
      </c>
      <c r="O249">
        <v>3099</v>
      </c>
      <c r="P249">
        <v>3699</v>
      </c>
    </row>
    <row r="250" spans="2:16" ht="12.75">
      <c r="B250" t="s">
        <v>1574</v>
      </c>
      <c r="C250" t="s">
        <v>1251</v>
      </c>
      <c r="D250">
        <v>1</v>
      </c>
      <c r="F250">
        <v>6299</v>
      </c>
      <c r="G250">
        <v>7199</v>
      </c>
      <c r="H250">
        <v>8199</v>
      </c>
      <c r="J250">
        <v>5399</v>
      </c>
      <c r="K250">
        <v>6099</v>
      </c>
      <c r="L250">
        <v>7099</v>
      </c>
      <c r="N250">
        <v>2699</v>
      </c>
      <c r="O250">
        <v>3099</v>
      </c>
      <c r="P250">
        <v>3699</v>
      </c>
    </row>
    <row r="251" spans="2:16" ht="12.75">
      <c r="B251" t="s">
        <v>1577</v>
      </c>
      <c r="C251" t="s">
        <v>1254</v>
      </c>
      <c r="D251">
        <v>28.65</v>
      </c>
      <c r="F251">
        <v>188000</v>
      </c>
      <c r="G251">
        <v>215000</v>
      </c>
      <c r="H251">
        <v>245000</v>
      </c>
      <c r="J251">
        <v>161000</v>
      </c>
      <c r="K251">
        <v>182000</v>
      </c>
      <c r="L251">
        <v>212000</v>
      </c>
      <c r="N251">
        <v>80000</v>
      </c>
      <c r="O251">
        <v>92000</v>
      </c>
      <c r="P251">
        <v>110000</v>
      </c>
    </row>
    <row r="252" spans="2:16" ht="12.75">
      <c r="B252" t="s">
        <v>1578</v>
      </c>
      <c r="C252" t="s">
        <v>1255</v>
      </c>
      <c r="D252">
        <v>6.177</v>
      </c>
      <c r="F252">
        <v>70000</v>
      </c>
      <c r="G252">
        <v>80000</v>
      </c>
      <c r="H252">
        <v>90000</v>
      </c>
      <c r="J252">
        <v>50000</v>
      </c>
      <c r="K252">
        <v>60000</v>
      </c>
      <c r="L252">
        <v>70000</v>
      </c>
      <c r="N252">
        <v>25000</v>
      </c>
      <c r="O252">
        <v>30000</v>
      </c>
      <c r="P252">
        <v>35000</v>
      </c>
    </row>
    <row r="253" spans="2:12" ht="12.75">
      <c r="B253" t="s">
        <v>1580</v>
      </c>
      <c r="C253" t="s">
        <v>1251</v>
      </c>
      <c r="D253">
        <v>1</v>
      </c>
      <c r="F253">
        <v>8135</v>
      </c>
      <c r="G253">
        <v>8700</v>
      </c>
      <c r="H253">
        <v>9830</v>
      </c>
      <c r="J253">
        <v>6779</v>
      </c>
      <c r="K253">
        <v>7344</v>
      </c>
      <c r="L253">
        <v>7909</v>
      </c>
    </row>
    <row r="254" spans="2:16" ht="12.75">
      <c r="B254" t="s">
        <v>1575</v>
      </c>
      <c r="C254" t="s">
        <v>1256</v>
      </c>
      <c r="D254">
        <v>5.4175</v>
      </c>
      <c r="F254">
        <v>35450</v>
      </c>
      <c r="G254">
        <v>40550</v>
      </c>
      <c r="H254">
        <v>46150</v>
      </c>
      <c r="J254">
        <v>30400</v>
      </c>
      <c r="K254">
        <v>34350</v>
      </c>
      <c r="L254">
        <v>39950</v>
      </c>
      <c r="N254">
        <v>15200</v>
      </c>
      <c r="O254">
        <v>17450</v>
      </c>
      <c r="P254">
        <v>20850</v>
      </c>
    </row>
    <row r="255" spans="2:16" ht="12.75">
      <c r="B255" t="s">
        <v>1357</v>
      </c>
      <c r="C255" t="s">
        <v>1257</v>
      </c>
      <c r="D255">
        <v>6.177</v>
      </c>
      <c r="F255">
        <v>70000</v>
      </c>
      <c r="G255">
        <v>80000</v>
      </c>
      <c r="H255">
        <v>90000</v>
      </c>
      <c r="J255">
        <v>50000</v>
      </c>
      <c r="K255">
        <v>60000</v>
      </c>
      <c r="L255">
        <v>70000</v>
      </c>
      <c r="N255">
        <v>25000</v>
      </c>
      <c r="O255">
        <v>30000</v>
      </c>
      <c r="P255">
        <v>35000</v>
      </c>
    </row>
    <row r="256" spans="2:16" ht="12.75">
      <c r="B256" t="s">
        <v>1579</v>
      </c>
      <c r="C256" t="s">
        <v>1251</v>
      </c>
      <c r="D256">
        <v>1</v>
      </c>
      <c r="F256">
        <v>6299</v>
      </c>
      <c r="G256">
        <v>7199</v>
      </c>
      <c r="H256">
        <v>8199</v>
      </c>
      <c r="J256">
        <v>5399</v>
      </c>
      <c r="K256">
        <v>6099</v>
      </c>
      <c r="L256">
        <v>7099</v>
      </c>
      <c r="N256">
        <v>2699</v>
      </c>
      <c r="O256">
        <v>3099</v>
      </c>
      <c r="P256">
        <v>3699</v>
      </c>
    </row>
    <row r="257" spans="2:16" ht="12.75">
      <c r="B257" t="s">
        <v>1581</v>
      </c>
      <c r="C257" t="s">
        <v>1251</v>
      </c>
      <c r="D257">
        <v>1</v>
      </c>
      <c r="F257">
        <v>6299</v>
      </c>
      <c r="G257">
        <v>7199</v>
      </c>
      <c r="H257">
        <v>8199</v>
      </c>
      <c r="J257">
        <v>5399</v>
      </c>
      <c r="K257">
        <v>6099</v>
      </c>
      <c r="L257">
        <v>7099</v>
      </c>
      <c r="N257">
        <v>2699</v>
      </c>
      <c r="O257">
        <v>3099</v>
      </c>
      <c r="P257">
        <v>3699</v>
      </c>
    </row>
    <row r="258" spans="2:16" ht="12.75">
      <c r="B258" t="s">
        <v>1576</v>
      </c>
      <c r="C258" t="s">
        <v>1251</v>
      </c>
      <c r="D258">
        <v>1</v>
      </c>
      <c r="F258">
        <v>6299</v>
      </c>
      <c r="G258">
        <v>7199</v>
      </c>
      <c r="H258">
        <v>8199</v>
      </c>
      <c r="J258">
        <v>5399</v>
      </c>
      <c r="K258">
        <v>6099</v>
      </c>
      <c r="L258">
        <v>7099</v>
      </c>
      <c r="N258">
        <v>2699</v>
      </c>
      <c r="O258">
        <v>3099</v>
      </c>
      <c r="P258">
        <v>3699</v>
      </c>
    </row>
    <row r="259" spans="2:16" ht="12.75">
      <c r="B259" t="s">
        <v>1258</v>
      </c>
      <c r="C259" t="s">
        <v>1251</v>
      </c>
      <c r="D259">
        <v>1</v>
      </c>
      <c r="F259">
        <v>6299</v>
      </c>
      <c r="G259">
        <v>7199</v>
      </c>
      <c r="H259">
        <v>8199</v>
      </c>
      <c r="J259">
        <v>5399</v>
      </c>
      <c r="K259">
        <v>6099</v>
      </c>
      <c r="L259">
        <v>7099</v>
      </c>
      <c r="N259">
        <v>2699</v>
      </c>
      <c r="O259">
        <v>3099</v>
      </c>
      <c r="P259">
        <v>3699</v>
      </c>
    </row>
    <row r="260" spans="2:16" ht="12.75">
      <c r="B260" t="s">
        <v>1267</v>
      </c>
      <c r="C260" t="s">
        <v>1251</v>
      </c>
      <c r="D260">
        <v>1</v>
      </c>
      <c r="E260">
        <v>6731</v>
      </c>
      <c r="F260">
        <v>7874</v>
      </c>
      <c r="G260">
        <v>9054</v>
      </c>
      <c r="H260">
        <v>10412</v>
      </c>
      <c r="I260">
        <v>4538</v>
      </c>
      <c r="J260">
        <v>5309</v>
      </c>
      <c r="K260">
        <v>6222</v>
      </c>
      <c r="L260">
        <v>7289</v>
      </c>
      <c r="M260">
        <v>2387</v>
      </c>
      <c r="N260">
        <v>2865</v>
      </c>
      <c r="O260">
        <v>3294</v>
      </c>
      <c r="P260">
        <v>3789</v>
      </c>
    </row>
    <row r="261" spans="2:16" ht="12.75">
      <c r="B261" t="s">
        <v>1268</v>
      </c>
      <c r="C261" t="s">
        <v>1269</v>
      </c>
      <c r="D261">
        <v>8.2765</v>
      </c>
      <c r="E261">
        <v>58250</v>
      </c>
      <c r="F261">
        <v>69880</v>
      </c>
      <c r="G261">
        <v>80350</v>
      </c>
      <c r="H261">
        <v>92400</v>
      </c>
      <c r="I261">
        <v>42060</v>
      </c>
      <c r="J261">
        <v>50400</v>
      </c>
      <c r="K261">
        <v>58670</v>
      </c>
      <c r="L261">
        <v>66666</v>
      </c>
      <c r="M261">
        <v>21960</v>
      </c>
      <c r="N261">
        <v>25090</v>
      </c>
      <c r="O261">
        <v>28850</v>
      </c>
      <c r="P261">
        <v>33170</v>
      </c>
    </row>
    <row r="262" spans="2:16" ht="12.75">
      <c r="B262" t="s">
        <v>1358</v>
      </c>
      <c r="C262" t="s">
        <v>1270</v>
      </c>
      <c r="D262">
        <v>7.7994</v>
      </c>
      <c r="E262">
        <v>54960</v>
      </c>
      <c r="F262">
        <v>63530</v>
      </c>
      <c r="G262">
        <v>72370</v>
      </c>
      <c r="H262">
        <v>78500</v>
      </c>
      <c r="I262">
        <v>41190</v>
      </c>
      <c r="J262">
        <v>47630</v>
      </c>
      <c r="K262">
        <v>54240</v>
      </c>
      <c r="L262">
        <v>58280</v>
      </c>
      <c r="M262">
        <v>21590</v>
      </c>
      <c r="N262">
        <v>24750</v>
      </c>
      <c r="O262">
        <v>28180</v>
      </c>
      <c r="P262">
        <v>31430</v>
      </c>
    </row>
    <row r="263" spans="2:16" ht="12.75">
      <c r="B263" t="s">
        <v>1271</v>
      </c>
      <c r="C263" t="s">
        <v>1272</v>
      </c>
      <c r="D263">
        <v>43.475</v>
      </c>
      <c r="E263">
        <v>326775</v>
      </c>
      <c r="F263">
        <v>382170</v>
      </c>
      <c r="G263">
        <v>439490</v>
      </c>
      <c r="H263">
        <v>505415</v>
      </c>
      <c r="I263">
        <v>209850</v>
      </c>
      <c r="J263">
        <v>245415</v>
      </c>
      <c r="K263">
        <v>282230</v>
      </c>
      <c r="L263">
        <v>324570</v>
      </c>
      <c r="M263">
        <v>112720</v>
      </c>
      <c r="N263">
        <v>135260</v>
      </c>
      <c r="O263">
        <v>155550</v>
      </c>
      <c r="P263">
        <v>178875</v>
      </c>
    </row>
    <row r="264" spans="2:16" ht="12.75">
      <c r="B264" t="s">
        <v>1259</v>
      </c>
      <c r="C264" t="s">
        <v>1251</v>
      </c>
      <c r="D264">
        <v>1</v>
      </c>
      <c r="E264">
        <v>6623</v>
      </c>
      <c r="F264">
        <v>7947</v>
      </c>
      <c r="G264">
        <v>9139</v>
      </c>
      <c r="H264">
        <v>10509</v>
      </c>
      <c r="I264">
        <v>4836</v>
      </c>
      <c r="J264">
        <v>5804</v>
      </c>
      <c r="K264">
        <v>6674</v>
      </c>
      <c r="L264">
        <v>7676</v>
      </c>
      <c r="M264">
        <v>2895</v>
      </c>
      <c r="N264">
        <v>3474</v>
      </c>
      <c r="O264">
        <v>3996</v>
      </c>
      <c r="P264">
        <v>4595</v>
      </c>
    </row>
    <row r="265" spans="2:16" ht="12.75">
      <c r="B265" t="s">
        <v>1262</v>
      </c>
      <c r="C265" t="s">
        <v>1273</v>
      </c>
      <c r="D265">
        <v>104.09</v>
      </c>
      <c r="E265">
        <v>820800</v>
      </c>
      <c r="F265">
        <v>918000</v>
      </c>
      <c r="G265">
        <v>1063800</v>
      </c>
      <c r="H265">
        <v>1242000</v>
      </c>
      <c r="I265">
        <v>570300</v>
      </c>
      <c r="J265">
        <v>680400</v>
      </c>
      <c r="K265">
        <v>750600</v>
      </c>
      <c r="L265">
        <v>853200</v>
      </c>
      <c r="M265">
        <v>321900</v>
      </c>
      <c r="N265">
        <v>355400</v>
      </c>
      <c r="O265">
        <v>421200</v>
      </c>
      <c r="P265">
        <v>485000</v>
      </c>
    </row>
    <row r="266" spans="2:16" ht="12.75">
      <c r="B266" t="s">
        <v>1264</v>
      </c>
      <c r="C266" t="s">
        <v>1274</v>
      </c>
      <c r="D266">
        <v>1026.95</v>
      </c>
      <c r="E266">
        <v>7644700</v>
      </c>
      <c r="F266">
        <v>9173500</v>
      </c>
      <c r="G266">
        <v>10549600</v>
      </c>
      <c r="H266">
        <v>12132100</v>
      </c>
      <c r="I266">
        <v>5375700</v>
      </c>
      <c r="J266">
        <v>6454100</v>
      </c>
      <c r="K266">
        <v>7418600</v>
      </c>
      <c r="L266">
        <v>8531400</v>
      </c>
      <c r="M266">
        <v>2905500</v>
      </c>
      <c r="N266">
        <v>3486700</v>
      </c>
      <c r="O266">
        <v>4009700</v>
      </c>
      <c r="P266">
        <v>4611200</v>
      </c>
    </row>
    <row r="267" spans="2:16" ht="12.75">
      <c r="B267" t="s">
        <v>1266</v>
      </c>
      <c r="C267" t="s">
        <v>1275</v>
      </c>
      <c r="D267">
        <v>3.8</v>
      </c>
      <c r="E267">
        <v>24802</v>
      </c>
      <c r="F267">
        <v>29763</v>
      </c>
      <c r="G267">
        <v>34228</v>
      </c>
      <c r="H267">
        <v>39362</v>
      </c>
      <c r="I267">
        <v>18586</v>
      </c>
      <c r="J267">
        <v>22306</v>
      </c>
      <c r="K267">
        <v>25652</v>
      </c>
      <c r="L267">
        <v>29501</v>
      </c>
      <c r="M267">
        <v>10461</v>
      </c>
      <c r="N267">
        <v>12555</v>
      </c>
      <c r="O267">
        <v>13904</v>
      </c>
      <c r="P267">
        <v>15991</v>
      </c>
    </row>
    <row r="268" spans="2:16" ht="12.75">
      <c r="B268" t="s">
        <v>1260</v>
      </c>
      <c r="C268" t="s">
        <v>1276</v>
      </c>
      <c r="D268">
        <v>59.385</v>
      </c>
      <c r="E268">
        <v>375000</v>
      </c>
      <c r="F268">
        <v>450000</v>
      </c>
      <c r="G268">
        <v>517400</v>
      </c>
      <c r="H268">
        <v>595000</v>
      </c>
      <c r="I268">
        <v>258000</v>
      </c>
      <c r="J268">
        <v>309600</v>
      </c>
      <c r="K268">
        <v>356100</v>
      </c>
      <c r="L268">
        <v>409500</v>
      </c>
      <c r="M268">
        <v>145500</v>
      </c>
      <c r="N268">
        <v>174700</v>
      </c>
      <c r="O268">
        <v>200900</v>
      </c>
      <c r="P268">
        <v>231000</v>
      </c>
    </row>
    <row r="269" spans="2:16" ht="12.75">
      <c r="B269" t="s">
        <v>1263</v>
      </c>
      <c r="C269" t="s">
        <v>1251</v>
      </c>
      <c r="D269">
        <v>1</v>
      </c>
      <c r="E269">
        <v>6623</v>
      </c>
      <c r="F269">
        <v>7947</v>
      </c>
      <c r="G269">
        <v>9139</v>
      </c>
      <c r="H269">
        <v>10509</v>
      </c>
      <c r="I269">
        <v>4963</v>
      </c>
      <c r="J269">
        <v>5955</v>
      </c>
      <c r="K269">
        <v>6848</v>
      </c>
      <c r="L269">
        <v>7875</v>
      </c>
      <c r="M269">
        <v>2852</v>
      </c>
      <c r="N269">
        <v>3423</v>
      </c>
      <c r="O269">
        <v>3937</v>
      </c>
      <c r="P269">
        <v>4527</v>
      </c>
    </row>
    <row r="270" spans="2:16" ht="12.75">
      <c r="B270" t="s">
        <v>1265</v>
      </c>
      <c r="C270" t="s">
        <v>1277</v>
      </c>
      <c r="D270">
        <v>1.6345</v>
      </c>
      <c r="E270">
        <v>11570</v>
      </c>
      <c r="F270">
        <v>13885</v>
      </c>
      <c r="G270">
        <v>15968</v>
      </c>
      <c r="H270">
        <v>18362</v>
      </c>
      <c r="I270">
        <v>8639</v>
      </c>
      <c r="J270">
        <v>10105</v>
      </c>
      <c r="K270">
        <v>11624</v>
      </c>
      <c r="L270">
        <v>13368</v>
      </c>
      <c r="M270">
        <v>4860</v>
      </c>
      <c r="N270">
        <v>5365</v>
      </c>
      <c r="O270">
        <v>6170</v>
      </c>
      <c r="P270">
        <v>7713</v>
      </c>
    </row>
    <row r="271" spans="2:16" ht="12.75">
      <c r="B271" t="s">
        <v>1359</v>
      </c>
      <c r="C271" t="s">
        <v>1278</v>
      </c>
      <c r="D271">
        <v>99.3</v>
      </c>
      <c r="E271">
        <v>576000</v>
      </c>
      <c r="F271">
        <v>691100</v>
      </c>
      <c r="G271">
        <v>794800</v>
      </c>
      <c r="H271">
        <v>913800</v>
      </c>
      <c r="I271">
        <v>415200</v>
      </c>
      <c r="J271">
        <v>498200</v>
      </c>
      <c r="K271">
        <v>572900</v>
      </c>
      <c r="L271">
        <v>658800</v>
      </c>
      <c r="M271">
        <v>223400</v>
      </c>
      <c r="N271">
        <v>268000</v>
      </c>
      <c r="O271">
        <v>308400</v>
      </c>
      <c r="P271">
        <v>354500</v>
      </c>
    </row>
    <row r="272" spans="2:16" ht="12.75">
      <c r="B272" t="s">
        <v>1261</v>
      </c>
      <c r="C272" t="s">
        <v>1279</v>
      </c>
      <c r="D272">
        <v>31.623</v>
      </c>
      <c r="E272">
        <v>218965</v>
      </c>
      <c r="F272">
        <v>262758</v>
      </c>
      <c r="G272">
        <v>302171</v>
      </c>
      <c r="H272">
        <v>347496</v>
      </c>
      <c r="I272">
        <v>164088</v>
      </c>
      <c r="J272">
        <v>196906</v>
      </c>
      <c r="K272">
        <v>226443</v>
      </c>
      <c r="L272">
        <v>260408</v>
      </c>
      <c r="M272">
        <v>80903</v>
      </c>
      <c r="N272">
        <v>97083</v>
      </c>
      <c r="O272">
        <v>111647</v>
      </c>
      <c r="P272">
        <v>128395</v>
      </c>
    </row>
    <row r="273" spans="2:16" ht="12.75">
      <c r="B273" t="s">
        <v>1280</v>
      </c>
      <c r="C273" t="s">
        <v>1281</v>
      </c>
      <c r="D273">
        <v>38.3275</v>
      </c>
      <c r="E273">
        <v>259665</v>
      </c>
      <c r="F273">
        <v>311590</v>
      </c>
      <c r="G273">
        <v>358325</v>
      </c>
      <c r="H273">
        <v>412085</v>
      </c>
      <c r="I273">
        <v>182210</v>
      </c>
      <c r="J273">
        <v>218650</v>
      </c>
      <c r="K273">
        <v>251440</v>
      </c>
      <c r="L273">
        <v>289165</v>
      </c>
      <c r="M273">
        <v>100965</v>
      </c>
      <c r="N273">
        <v>121160</v>
      </c>
      <c r="O273">
        <v>139330</v>
      </c>
      <c r="P273">
        <v>160230</v>
      </c>
    </row>
    <row r="274" spans="2:16" ht="12.75">
      <c r="B274" t="s">
        <v>1306</v>
      </c>
      <c r="C274" t="s">
        <v>1251</v>
      </c>
      <c r="D274">
        <v>1</v>
      </c>
      <c r="E274">
        <v>7499</v>
      </c>
      <c r="F274">
        <v>8499</v>
      </c>
      <c r="G274">
        <v>9999</v>
      </c>
      <c r="H274">
        <v>10999</v>
      </c>
      <c r="I274">
        <v>5299</v>
      </c>
      <c r="J274">
        <v>5999</v>
      </c>
      <c r="K274">
        <v>6999</v>
      </c>
      <c r="L274">
        <v>7999</v>
      </c>
      <c r="M274">
        <v>2659</v>
      </c>
      <c r="N274">
        <v>2999</v>
      </c>
      <c r="O274">
        <v>3499</v>
      </c>
      <c r="P274">
        <v>3999</v>
      </c>
    </row>
    <row r="275" spans="2:16" ht="12.75">
      <c r="B275" t="s">
        <v>1307</v>
      </c>
      <c r="C275" t="s">
        <v>1308</v>
      </c>
      <c r="D275">
        <v>0.7770913470878501</v>
      </c>
      <c r="E275">
        <v>6800</v>
      </c>
      <c r="F275">
        <v>7500</v>
      </c>
      <c r="G275">
        <v>8400</v>
      </c>
      <c r="H275">
        <v>9500</v>
      </c>
      <c r="I275">
        <v>4500</v>
      </c>
      <c r="J275">
        <v>5000</v>
      </c>
      <c r="K275">
        <v>5600</v>
      </c>
      <c r="L275">
        <v>6400</v>
      </c>
      <c r="M275">
        <v>2000</v>
      </c>
      <c r="N275">
        <v>2400</v>
      </c>
      <c r="O275">
        <v>2900</v>
      </c>
      <c r="P275">
        <v>3400</v>
      </c>
    </row>
    <row r="276" spans="2:16" ht="12.75">
      <c r="B276" t="s">
        <v>1309</v>
      </c>
      <c r="C276" t="s">
        <v>1251</v>
      </c>
      <c r="D276">
        <v>1</v>
      </c>
      <c r="E276">
        <v>7499</v>
      </c>
      <c r="F276">
        <v>8499</v>
      </c>
      <c r="G276">
        <v>9999</v>
      </c>
      <c r="H276">
        <v>10999</v>
      </c>
      <c r="I276">
        <v>5299</v>
      </c>
      <c r="J276">
        <v>5999</v>
      </c>
      <c r="K276">
        <v>6999</v>
      </c>
      <c r="L276">
        <v>7999</v>
      </c>
      <c r="M276">
        <v>2659</v>
      </c>
      <c r="N276">
        <v>2999</v>
      </c>
      <c r="O276">
        <v>3499</v>
      </c>
      <c r="P276">
        <v>3999</v>
      </c>
    </row>
    <row r="277" spans="2:16" ht="12.75">
      <c r="B277" t="s">
        <v>1310</v>
      </c>
      <c r="C277" t="s">
        <v>1308</v>
      </c>
      <c r="D277">
        <v>0.7770913470878501</v>
      </c>
      <c r="E277">
        <v>6800</v>
      </c>
      <c r="F277">
        <v>7500</v>
      </c>
      <c r="G277">
        <v>8400</v>
      </c>
      <c r="H277">
        <v>9500</v>
      </c>
      <c r="I277">
        <v>4500</v>
      </c>
      <c r="J277">
        <v>5000</v>
      </c>
      <c r="K277">
        <v>5600</v>
      </c>
      <c r="L277">
        <v>6400</v>
      </c>
      <c r="M277">
        <v>2000</v>
      </c>
      <c r="N277">
        <v>2400</v>
      </c>
      <c r="O277">
        <v>2900</v>
      </c>
      <c r="P277">
        <v>3400</v>
      </c>
    </row>
    <row r="278" spans="2:16" ht="12.75">
      <c r="B278" t="s">
        <v>1311</v>
      </c>
      <c r="C278" t="s">
        <v>1251</v>
      </c>
      <c r="D278">
        <v>1</v>
      </c>
      <c r="E278">
        <v>6600</v>
      </c>
      <c r="F278">
        <v>7600</v>
      </c>
      <c r="G278">
        <v>8600</v>
      </c>
      <c r="H278">
        <v>9600</v>
      </c>
      <c r="I278">
        <v>4400</v>
      </c>
      <c r="J278">
        <v>5000</v>
      </c>
      <c r="K278">
        <v>5900</v>
      </c>
      <c r="L278">
        <v>6500</v>
      </c>
      <c r="M278">
        <v>2329</v>
      </c>
      <c r="N278">
        <v>2900</v>
      </c>
      <c r="O278">
        <v>3400</v>
      </c>
      <c r="P278">
        <v>4000</v>
      </c>
    </row>
    <row r="279" spans="2:16" ht="12.75">
      <c r="B279" t="s">
        <v>1312</v>
      </c>
      <c r="C279" t="s">
        <v>1251</v>
      </c>
      <c r="D279">
        <v>1</v>
      </c>
      <c r="E279">
        <v>6600</v>
      </c>
      <c r="F279">
        <v>7600</v>
      </c>
      <c r="G279">
        <v>8600</v>
      </c>
      <c r="H279">
        <v>9600</v>
      </c>
      <c r="I279">
        <v>4400</v>
      </c>
      <c r="J279">
        <v>5000</v>
      </c>
      <c r="K279">
        <v>5900</v>
      </c>
      <c r="L279">
        <v>6500</v>
      </c>
      <c r="M279">
        <v>2389</v>
      </c>
      <c r="N279">
        <v>2500</v>
      </c>
      <c r="O279">
        <v>3100</v>
      </c>
      <c r="P279">
        <v>4000</v>
      </c>
    </row>
    <row r="280" spans="2:16" ht="12.75">
      <c r="B280" t="s">
        <v>1313</v>
      </c>
      <c r="C280" t="s">
        <v>1314</v>
      </c>
      <c r="D280">
        <v>0.4521</v>
      </c>
      <c r="E280">
        <v>3890</v>
      </c>
      <c r="F280">
        <v>4490</v>
      </c>
      <c r="G280">
        <v>5290</v>
      </c>
      <c r="H280">
        <v>5990</v>
      </c>
      <c r="I280">
        <v>2690</v>
      </c>
      <c r="J280">
        <v>3090</v>
      </c>
      <c r="K280">
        <v>3490</v>
      </c>
      <c r="L280">
        <v>3990</v>
      </c>
      <c r="M280">
        <v>1270</v>
      </c>
      <c r="N280">
        <v>1520</v>
      </c>
      <c r="O280">
        <v>1750</v>
      </c>
      <c r="P280">
        <v>2020</v>
      </c>
    </row>
    <row r="281" spans="2:16" ht="12.75">
      <c r="B281" t="s">
        <v>1360</v>
      </c>
      <c r="C281" t="s">
        <v>1315</v>
      </c>
      <c r="D281">
        <v>23.2912</v>
      </c>
      <c r="E281">
        <v>256900</v>
      </c>
      <c r="F281">
        <v>295900</v>
      </c>
      <c r="G281">
        <v>334900</v>
      </c>
      <c r="H281">
        <v>373000</v>
      </c>
      <c r="I281">
        <v>171000</v>
      </c>
      <c r="J281">
        <v>194900</v>
      </c>
      <c r="K281">
        <v>229900</v>
      </c>
      <c r="L281">
        <v>252900</v>
      </c>
      <c r="M281">
        <v>92900</v>
      </c>
      <c r="N281">
        <v>97900</v>
      </c>
      <c r="O281">
        <v>120900</v>
      </c>
      <c r="P281">
        <v>155900</v>
      </c>
    </row>
    <row r="282" spans="2:16" ht="12.75">
      <c r="B282" t="s">
        <v>1282</v>
      </c>
      <c r="C282" t="s">
        <v>1316</v>
      </c>
      <c r="D282">
        <v>5.78215</v>
      </c>
      <c r="E282">
        <v>50700</v>
      </c>
      <c r="F282">
        <v>55900</v>
      </c>
      <c r="G282">
        <v>62600</v>
      </c>
      <c r="H282">
        <v>70800</v>
      </c>
      <c r="I282">
        <v>33500</v>
      </c>
      <c r="J282">
        <v>37300</v>
      </c>
      <c r="K282">
        <v>41700</v>
      </c>
      <c r="L282">
        <v>47700</v>
      </c>
      <c r="M282">
        <v>14900</v>
      </c>
      <c r="N282">
        <v>17900</v>
      </c>
      <c r="O282">
        <v>21600</v>
      </c>
      <c r="P282">
        <v>25400</v>
      </c>
    </row>
    <row r="283" spans="2:16" ht="12.75">
      <c r="B283" t="s">
        <v>1285</v>
      </c>
      <c r="C283" t="s">
        <v>1317</v>
      </c>
      <c r="D283">
        <v>12.1605</v>
      </c>
      <c r="E283">
        <v>106395</v>
      </c>
      <c r="F283">
        <v>117350</v>
      </c>
      <c r="G283">
        <v>131430</v>
      </c>
      <c r="H283">
        <v>148645</v>
      </c>
      <c r="I283">
        <v>70410</v>
      </c>
      <c r="J283">
        <v>78235</v>
      </c>
      <c r="K283">
        <v>87620</v>
      </c>
      <c r="L283">
        <v>100140</v>
      </c>
      <c r="M283">
        <v>31295</v>
      </c>
      <c r="N283">
        <v>37550</v>
      </c>
      <c r="O283">
        <v>45375</v>
      </c>
      <c r="P283">
        <v>53200</v>
      </c>
    </row>
    <row r="284" spans="2:16" ht="12.75">
      <c r="B284" t="s">
        <v>1288</v>
      </c>
      <c r="C284" t="s">
        <v>1308</v>
      </c>
      <c r="D284">
        <v>0.7770913470878501</v>
      </c>
      <c r="E284">
        <v>6800</v>
      </c>
      <c r="F284">
        <v>7500</v>
      </c>
      <c r="G284">
        <v>8400</v>
      </c>
      <c r="H284">
        <v>9500</v>
      </c>
      <c r="I284">
        <v>4500</v>
      </c>
      <c r="J284">
        <v>5000</v>
      </c>
      <c r="K284">
        <v>5600</v>
      </c>
      <c r="L284">
        <v>6400</v>
      </c>
      <c r="M284">
        <v>2000</v>
      </c>
      <c r="N284">
        <v>2400</v>
      </c>
      <c r="O284">
        <v>2900</v>
      </c>
      <c r="P284">
        <v>3400</v>
      </c>
    </row>
    <row r="285" spans="2:16" ht="12.75">
      <c r="B285" t="s">
        <v>1291</v>
      </c>
      <c r="C285" t="s">
        <v>1308</v>
      </c>
      <c r="D285">
        <v>0.7770913470878501</v>
      </c>
      <c r="E285">
        <v>6800</v>
      </c>
      <c r="F285">
        <v>7500</v>
      </c>
      <c r="G285">
        <v>8400</v>
      </c>
      <c r="H285">
        <v>9500</v>
      </c>
      <c r="I285">
        <v>4500</v>
      </c>
      <c r="J285">
        <v>5000</v>
      </c>
      <c r="K285">
        <v>5600</v>
      </c>
      <c r="L285">
        <v>6400</v>
      </c>
      <c r="M285">
        <v>2000</v>
      </c>
      <c r="N285">
        <v>2400</v>
      </c>
      <c r="O285">
        <v>2900</v>
      </c>
      <c r="P285">
        <v>3400</v>
      </c>
    </row>
    <row r="286" spans="2:16" ht="12.75">
      <c r="B286" t="s">
        <v>1294</v>
      </c>
      <c r="C286" t="s">
        <v>1251</v>
      </c>
      <c r="D286">
        <v>1</v>
      </c>
      <c r="E286">
        <v>7499</v>
      </c>
      <c r="F286">
        <v>8499</v>
      </c>
      <c r="G286">
        <v>9999</v>
      </c>
      <c r="H286">
        <v>10999</v>
      </c>
      <c r="I286">
        <v>5299</v>
      </c>
      <c r="J286">
        <v>5999</v>
      </c>
      <c r="K286">
        <v>6999</v>
      </c>
      <c r="L286">
        <v>7999</v>
      </c>
      <c r="M286">
        <v>2659</v>
      </c>
      <c r="N286">
        <v>2999</v>
      </c>
      <c r="O286">
        <v>3499</v>
      </c>
      <c r="P286">
        <v>3999</v>
      </c>
    </row>
    <row r="287" spans="2:16" ht="12.75">
      <c r="B287" t="s">
        <v>1297</v>
      </c>
      <c r="C287" t="s">
        <v>1308</v>
      </c>
      <c r="D287">
        <v>0.7770913470878501</v>
      </c>
      <c r="E287">
        <v>6800</v>
      </c>
      <c r="F287">
        <v>7500</v>
      </c>
      <c r="G287">
        <v>8400</v>
      </c>
      <c r="H287">
        <v>9500</v>
      </c>
      <c r="I287">
        <v>4500</v>
      </c>
      <c r="J287">
        <v>5000</v>
      </c>
      <c r="K287">
        <v>5600</v>
      </c>
      <c r="L287">
        <v>6400</v>
      </c>
      <c r="M287">
        <v>2000</v>
      </c>
      <c r="N287">
        <v>2400</v>
      </c>
      <c r="O287">
        <v>2900</v>
      </c>
      <c r="P287">
        <v>3400</v>
      </c>
    </row>
    <row r="288" spans="2:16" ht="12.75">
      <c r="B288" t="s">
        <v>1300</v>
      </c>
      <c r="C288" t="s">
        <v>1318</v>
      </c>
      <c r="D288">
        <v>0.5331200852992136</v>
      </c>
      <c r="E288">
        <v>4160</v>
      </c>
      <c r="F288">
        <v>4590</v>
      </c>
      <c r="G288">
        <v>5140</v>
      </c>
      <c r="H288">
        <v>5820</v>
      </c>
      <c r="I288">
        <v>2499</v>
      </c>
      <c r="J288">
        <v>3099</v>
      </c>
      <c r="K288">
        <v>3499</v>
      </c>
      <c r="L288">
        <v>3999</v>
      </c>
      <c r="M288">
        <v>1499</v>
      </c>
      <c r="N288">
        <v>1799</v>
      </c>
      <c r="O288">
        <v>2079</v>
      </c>
      <c r="P288">
        <v>2379</v>
      </c>
    </row>
    <row r="289" spans="2:16" ht="12.75">
      <c r="B289" t="s">
        <v>1303</v>
      </c>
      <c r="C289" t="s">
        <v>1308</v>
      </c>
      <c r="D289">
        <v>0.7770913470878501</v>
      </c>
      <c r="E289">
        <v>6800</v>
      </c>
      <c r="F289">
        <v>7500</v>
      </c>
      <c r="G289">
        <v>8400</v>
      </c>
      <c r="H289">
        <v>9500</v>
      </c>
      <c r="I289">
        <v>4500</v>
      </c>
      <c r="J289">
        <v>5000</v>
      </c>
      <c r="K289">
        <v>5600</v>
      </c>
      <c r="L289">
        <v>6400</v>
      </c>
      <c r="M289">
        <v>2000</v>
      </c>
      <c r="N289">
        <v>2400</v>
      </c>
      <c r="O289">
        <v>2900</v>
      </c>
      <c r="P289">
        <v>3400</v>
      </c>
    </row>
    <row r="290" spans="2:16" ht="12.75">
      <c r="B290" t="s">
        <v>1283</v>
      </c>
      <c r="C290" t="s">
        <v>1319</v>
      </c>
      <c r="D290">
        <v>189.55</v>
      </c>
      <c r="E290">
        <v>1924200</v>
      </c>
      <c r="F290">
        <v>2215800</v>
      </c>
      <c r="G290">
        <v>2507300</v>
      </c>
      <c r="H290">
        <v>2799900</v>
      </c>
      <c r="I290">
        <v>1282800</v>
      </c>
      <c r="J290">
        <v>1457800</v>
      </c>
      <c r="K290">
        <v>1720200</v>
      </c>
      <c r="L290">
        <v>1895100</v>
      </c>
      <c r="M290">
        <v>561800</v>
      </c>
      <c r="N290">
        <v>845500</v>
      </c>
      <c r="O290">
        <v>903800</v>
      </c>
      <c r="P290">
        <v>1166200</v>
      </c>
    </row>
    <row r="291" spans="2:16" ht="12.75">
      <c r="B291" t="s">
        <v>1286</v>
      </c>
      <c r="C291" t="s">
        <v>1308</v>
      </c>
      <c r="D291">
        <v>0.7770913470878501</v>
      </c>
      <c r="E291">
        <v>10249</v>
      </c>
      <c r="F291">
        <v>10749</v>
      </c>
      <c r="G291">
        <v>12049</v>
      </c>
      <c r="H291">
        <v>12549</v>
      </c>
      <c r="I291">
        <v>5999</v>
      </c>
      <c r="J291">
        <v>7349</v>
      </c>
      <c r="K291">
        <v>7999</v>
      </c>
      <c r="L291">
        <v>8649</v>
      </c>
      <c r="M291">
        <v>1899</v>
      </c>
      <c r="N291">
        <v>2099</v>
      </c>
      <c r="O291">
        <v>2799</v>
      </c>
      <c r="P291">
        <v>3099</v>
      </c>
    </row>
    <row r="292" spans="2:16" ht="12.75">
      <c r="B292" t="s">
        <v>1289</v>
      </c>
      <c r="C292" t="s">
        <v>1308</v>
      </c>
      <c r="D292">
        <v>0.7770913470878501</v>
      </c>
      <c r="E292">
        <v>6800</v>
      </c>
      <c r="F292">
        <v>7500</v>
      </c>
      <c r="G292">
        <v>8400</v>
      </c>
      <c r="H292">
        <v>9500</v>
      </c>
      <c r="I292">
        <v>4500</v>
      </c>
      <c r="J292">
        <v>5000</v>
      </c>
      <c r="K292">
        <v>5600</v>
      </c>
      <c r="L292">
        <v>6400</v>
      </c>
      <c r="M292">
        <v>2000</v>
      </c>
      <c r="N292">
        <v>2400</v>
      </c>
      <c r="O292">
        <v>2900</v>
      </c>
      <c r="P292">
        <v>3400</v>
      </c>
    </row>
    <row r="293" spans="2:16" ht="12.75">
      <c r="B293" t="s">
        <v>1292</v>
      </c>
      <c r="C293" t="s">
        <v>1320</v>
      </c>
      <c r="D293">
        <v>0.5384</v>
      </c>
      <c r="E293">
        <v>4234</v>
      </c>
      <c r="F293">
        <v>4617</v>
      </c>
      <c r="G293">
        <v>5233</v>
      </c>
      <c r="H293">
        <v>5916</v>
      </c>
      <c r="I293">
        <v>2803</v>
      </c>
      <c r="J293">
        <v>3114</v>
      </c>
      <c r="K293">
        <v>3488</v>
      </c>
      <c r="L293">
        <v>3986</v>
      </c>
      <c r="M293">
        <v>1246</v>
      </c>
      <c r="N293">
        <v>1495</v>
      </c>
      <c r="O293">
        <v>1806</v>
      </c>
      <c r="P293">
        <v>2118</v>
      </c>
    </row>
    <row r="294" spans="2:16" ht="12.75">
      <c r="B294" t="s">
        <v>1295</v>
      </c>
      <c r="C294" t="s">
        <v>1308</v>
      </c>
      <c r="D294">
        <v>0.7770913470878501</v>
      </c>
      <c r="E294">
        <v>6800</v>
      </c>
      <c r="F294">
        <v>7500</v>
      </c>
      <c r="G294">
        <v>8400</v>
      </c>
      <c r="H294">
        <v>9500</v>
      </c>
      <c r="I294">
        <v>4500</v>
      </c>
      <c r="J294">
        <v>5000</v>
      </c>
      <c r="K294">
        <v>5600</v>
      </c>
      <c r="L294">
        <v>6400</v>
      </c>
      <c r="M294">
        <v>2000</v>
      </c>
      <c r="N294">
        <v>2400</v>
      </c>
      <c r="O294">
        <v>2900</v>
      </c>
      <c r="P294">
        <v>3400</v>
      </c>
    </row>
    <row r="295" spans="2:16" ht="12.75">
      <c r="B295" t="s">
        <v>1298</v>
      </c>
      <c r="C295" t="s">
        <v>1321</v>
      </c>
      <c r="D295">
        <v>0.3341910904655282</v>
      </c>
      <c r="E295">
        <v>2780</v>
      </c>
      <c r="F295">
        <v>3060</v>
      </c>
      <c r="G295">
        <v>3430</v>
      </c>
      <c r="H295">
        <v>3880</v>
      </c>
      <c r="I295">
        <v>1840</v>
      </c>
      <c r="J295">
        <v>2040</v>
      </c>
      <c r="K295">
        <v>2290</v>
      </c>
      <c r="L295">
        <v>2620</v>
      </c>
      <c r="M295">
        <v>850</v>
      </c>
      <c r="N295">
        <v>990</v>
      </c>
      <c r="O295">
        <v>1190</v>
      </c>
      <c r="P295">
        <v>1390</v>
      </c>
    </row>
    <row r="296" spans="2:16" ht="12.75">
      <c r="B296" t="s">
        <v>1301</v>
      </c>
      <c r="C296" t="s">
        <v>1322</v>
      </c>
      <c r="D296">
        <v>8.6075</v>
      </c>
      <c r="E296">
        <v>111625</v>
      </c>
      <c r="F296">
        <v>123115</v>
      </c>
      <c r="G296">
        <v>137890</v>
      </c>
      <c r="H296">
        <v>155950</v>
      </c>
      <c r="I296">
        <v>73870</v>
      </c>
      <c r="J296">
        <v>82080</v>
      </c>
      <c r="K296">
        <v>91930</v>
      </c>
      <c r="L296">
        <v>105060</v>
      </c>
      <c r="M296">
        <v>32830</v>
      </c>
      <c r="N296">
        <v>39400</v>
      </c>
      <c r="O296">
        <v>47600</v>
      </c>
      <c r="P296">
        <v>55820</v>
      </c>
    </row>
    <row r="297" spans="2:16" ht="12.75">
      <c r="B297" t="s">
        <v>1304</v>
      </c>
      <c r="C297" t="s">
        <v>1308</v>
      </c>
      <c r="D297">
        <v>0.7770913470878501</v>
      </c>
      <c r="E297">
        <v>6800</v>
      </c>
      <c r="F297">
        <v>7500</v>
      </c>
      <c r="G297">
        <v>8400</v>
      </c>
      <c r="H297">
        <v>9500</v>
      </c>
      <c r="I297">
        <v>4500</v>
      </c>
      <c r="J297">
        <v>5000</v>
      </c>
      <c r="K297">
        <v>5600</v>
      </c>
      <c r="L297">
        <v>6400</v>
      </c>
      <c r="M297">
        <v>2000</v>
      </c>
      <c r="N297">
        <v>2400</v>
      </c>
      <c r="O297">
        <v>2900</v>
      </c>
      <c r="P297">
        <v>3400</v>
      </c>
    </row>
    <row r="298" spans="2:16" ht="12.75">
      <c r="B298" t="s">
        <v>1284</v>
      </c>
      <c r="C298" t="s">
        <v>1323</v>
      </c>
      <c r="D298">
        <v>6.4444</v>
      </c>
      <c r="E298">
        <v>54200</v>
      </c>
      <c r="F298">
        <v>59800</v>
      </c>
      <c r="G298">
        <v>66900</v>
      </c>
      <c r="H298">
        <v>75700</v>
      </c>
      <c r="I298">
        <v>35900</v>
      </c>
      <c r="J298">
        <v>39900</v>
      </c>
      <c r="K298">
        <v>44700</v>
      </c>
      <c r="L298">
        <v>51000</v>
      </c>
      <c r="M298">
        <v>16600</v>
      </c>
      <c r="N298">
        <v>19100</v>
      </c>
      <c r="O298">
        <v>23100</v>
      </c>
      <c r="P298">
        <v>27000</v>
      </c>
    </row>
    <row r="299" spans="2:16" ht="12.75">
      <c r="B299" t="s">
        <v>1287</v>
      </c>
      <c r="C299" t="s">
        <v>1251</v>
      </c>
      <c r="D299">
        <v>1</v>
      </c>
      <c r="E299">
        <v>8045</v>
      </c>
      <c r="F299">
        <v>9266</v>
      </c>
      <c r="G299">
        <v>10484</v>
      </c>
      <c r="H299">
        <v>11703</v>
      </c>
      <c r="I299">
        <v>5364</v>
      </c>
      <c r="J299">
        <v>6096</v>
      </c>
      <c r="K299">
        <v>7193</v>
      </c>
      <c r="L299">
        <v>7924</v>
      </c>
      <c r="M299">
        <v>2329</v>
      </c>
      <c r="N299">
        <v>2900</v>
      </c>
      <c r="O299">
        <v>3400</v>
      </c>
      <c r="P299">
        <v>4000</v>
      </c>
    </row>
    <row r="300" spans="2:16" ht="12.75">
      <c r="B300" t="s">
        <v>1290</v>
      </c>
      <c r="C300" t="s">
        <v>1308</v>
      </c>
      <c r="D300">
        <v>0.7770913470878501</v>
      </c>
      <c r="E300">
        <v>6800</v>
      </c>
      <c r="F300">
        <v>7500</v>
      </c>
      <c r="G300">
        <v>8400</v>
      </c>
      <c r="H300">
        <v>9500</v>
      </c>
      <c r="I300">
        <v>4500</v>
      </c>
      <c r="J300">
        <v>5000</v>
      </c>
      <c r="K300">
        <v>5600</v>
      </c>
      <c r="L300">
        <v>6400</v>
      </c>
      <c r="M300">
        <v>2000</v>
      </c>
      <c r="N300">
        <v>2400</v>
      </c>
      <c r="O300">
        <v>2900</v>
      </c>
      <c r="P300">
        <v>3400</v>
      </c>
    </row>
    <row r="301" spans="2:16" ht="12.75">
      <c r="B301" t="s">
        <v>1293</v>
      </c>
      <c r="C301" t="s">
        <v>1251</v>
      </c>
      <c r="D301">
        <v>1</v>
      </c>
      <c r="E301">
        <v>6800</v>
      </c>
      <c r="F301">
        <v>7500</v>
      </c>
      <c r="G301">
        <v>8400</v>
      </c>
      <c r="H301">
        <v>9500</v>
      </c>
      <c r="I301">
        <v>4500</v>
      </c>
      <c r="J301">
        <v>5000</v>
      </c>
      <c r="K301">
        <v>5600</v>
      </c>
      <c r="L301">
        <v>6400</v>
      </c>
      <c r="M301">
        <v>2000</v>
      </c>
      <c r="N301">
        <v>2400</v>
      </c>
      <c r="O301">
        <v>2900</v>
      </c>
      <c r="P301">
        <v>3400</v>
      </c>
    </row>
    <row r="302" spans="2:16" ht="12.75">
      <c r="B302" t="s">
        <v>1296</v>
      </c>
      <c r="C302" t="s">
        <v>1251</v>
      </c>
      <c r="D302">
        <v>1</v>
      </c>
      <c r="E302">
        <v>7499</v>
      </c>
      <c r="F302">
        <v>8499</v>
      </c>
      <c r="G302">
        <v>9999</v>
      </c>
      <c r="H302">
        <v>10999</v>
      </c>
      <c r="I302">
        <v>5299</v>
      </c>
      <c r="J302">
        <v>5999</v>
      </c>
      <c r="K302">
        <v>6999</v>
      </c>
      <c r="L302">
        <v>7999</v>
      </c>
      <c r="M302">
        <v>2659</v>
      </c>
      <c r="N302">
        <v>2999</v>
      </c>
      <c r="O302">
        <v>3499</v>
      </c>
      <c r="P302">
        <v>3999</v>
      </c>
    </row>
    <row r="303" spans="2:16" ht="12.75">
      <c r="B303" t="s">
        <v>1299</v>
      </c>
      <c r="C303" t="s">
        <v>1308</v>
      </c>
      <c r="D303">
        <v>0.7770913470878501</v>
      </c>
      <c r="E303">
        <v>6800</v>
      </c>
      <c r="F303">
        <v>7500</v>
      </c>
      <c r="G303">
        <v>8400</v>
      </c>
      <c r="H303">
        <v>9500</v>
      </c>
      <c r="I303">
        <v>4500</v>
      </c>
      <c r="J303">
        <v>5000</v>
      </c>
      <c r="K303">
        <v>5600</v>
      </c>
      <c r="L303">
        <v>6400</v>
      </c>
      <c r="M303">
        <v>2000</v>
      </c>
      <c r="N303">
        <v>2400</v>
      </c>
      <c r="O303">
        <v>2900</v>
      </c>
      <c r="P303">
        <v>3400</v>
      </c>
    </row>
    <row r="304" spans="2:16" ht="12.75">
      <c r="B304" t="s">
        <v>1302</v>
      </c>
      <c r="C304" t="s">
        <v>1324</v>
      </c>
      <c r="D304">
        <v>7.0528</v>
      </c>
      <c r="E304">
        <v>62600</v>
      </c>
      <c r="F304">
        <v>69000</v>
      </c>
      <c r="G304">
        <v>77300</v>
      </c>
      <c r="H304">
        <v>87400</v>
      </c>
      <c r="I304">
        <v>41400</v>
      </c>
      <c r="J304">
        <v>46000</v>
      </c>
      <c r="K304">
        <v>51500</v>
      </c>
      <c r="L304">
        <v>58900</v>
      </c>
      <c r="M304">
        <v>18400</v>
      </c>
      <c r="N304">
        <v>22100</v>
      </c>
      <c r="O304">
        <v>26700</v>
      </c>
      <c r="P304">
        <v>31300</v>
      </c>
    </row>
    <row r="305" spans="2:16" ht="12.75">
      <c r="B305" t="s">
        <v>1305</v>
      </c>
      <c r="C305" t="s">
        <v>1325</v>
      </c>
      <c r="D305">
        <v>1.21125</v>
      </c>
      <c r="E305">
        <v>10599</v>
      </c>
      <c r="F305">
        <v>11699</v>
      </c>
      <c r="G305">
        <v>13099</v>
      </c>
      <c r="H305">
        <v>14699</v>
      </c>
      <c r="I305">
        <v>7099</v>
      </c>
      <c r="J305">
        <v>7899</v>
      </c>
      <c r="K305">
        <v>8799</v>
      </c>
      <c r="L305">
        <v>9999</v>
      </c>
      <c r="M305">
        <v>3299</v>
      </c>
      <c r="N305">
        <v>3899</v>
      </c>
      <c r="O305">
        <v>4599</v>
      </c>
      <c r="P305">
        <v>5399</v>
      </c>
    </row>
    <row r="306" spans="2:16" ht="12.75">
      <c r="B306" t="s">
        <v>1326</v>
      </c>
      <c r="C306" t="s">
        <v>1327</v>
      </c>
      <c r="D306">
        <v>1.2441</v>
      </c>
      <c r="E306">
        <v>14150</v>
      </c>
      <c r="F306">
        <v>15600</v>
      </c>
      <c r="G306">
        <v>17480</v>
      </c>
      <c r="H306">
        <v>19760</v>
      </c>
      <c r="I306">
        <v>9360</v>
      </c>
      <c r="J306">
        <v>10400</v>
      </c>
      <c r="K306">
        <v>11650</v>
      </c>
      <c r="L306">
        <v>13310</v>
      </c>
      <c r="M306">
        <v>4160</v>
      </c>
      <c r="N306">
        <v>5999</v>
      </c>
      <c r="O306">
        <v>6035</v>
      </c>
      <c r="P306">
        <v>7075</v>
      </c>
    </row>
    <row r="307" spans="2:16" ht="12.75">
      <c r="B307" t="s">
        <v>1328</v>
      </c>
      <c r="C307" t="s">
        <v>1251</v>
      </c>
      <c r="D307">
        <v>1</v>
      </c>
      <c r="E307">
        <v>6299</v>
      </c>
      <c r="F307">
        <v>7299</v>
      </c>
      <c r="G307">
        <v>8399</v>
      </c>
      <c r="H307">
        <v>9599</v>
      </c>
      <c r="I307">
        <v>4399</v>
      </c>
      <c r="J307">
        <v>4999</v>
      </c>
      <c r="K307">
        <v>5699</v>
      </c>
      <c r="L307">
        <v>6499</v>
      </c>
      <c r="M307">
        <v>2299</v>
      </c>
      <c r="N307">
        <v>2599</v>
      </c>
      <c r="O307">
        <v>3099</v>
      </c>
      <c r="P307">
        <v>3699</v>
      </c>
    </row>
    <row r="308" spans="2:16" ht="12.75">
      <c r="B308" t="s">
        <v>1329</v>
      </c>
      <c r="C308" t="s">
        <v>1251</v>
      </c>
      <c r="D308">
        <v>1</v>
      </c>
      <c r="E308">
        <v>7499</v>
      </c>
      <c r="F308">
        <v>8499</v>
      </c>
      <c r="G308">
        <v>9999</v>
      </c>
      <c r="H308">
        <v>10999</v>
      </c>
      <c r="I308">
        <v>5299</v>
      </c>
      <c r="J308">
        <v>5999</v>
      </c>
      <c r="K308">
        <v>6999</v>
      </c>
      <c r="L308">
        <v>7999</v>
      </c>
      <c r="M308">
        <v>2659</v>
      </c>
      <c r="N308">
        <v>2999</v>
      </c>
      <c r="O308">
        <v>3499</v>
      </c>
      <c r="P308">
        <v>3999</v>
      </c>
    </row>
    <row r="309" spans="2:16" ht="12.75">
      <c r="B309" t="s">
        <v>1361</v>
      </c>
      <c r="C309" t="s">
        <v>1330</v>
      </c>
      <c r="D309">
        <v>0.5331200852992136</v>
      </c>
      <c r="E309">
        <v>6319</v>
      </c>
      <c r="F309">
        <v>6619</v>
      </c>
      <c r="G309">
        <v>7419</v>
      </c>
      <c r="H309">
        <v>7719</v>
      </c>
      <c r="I309">
        <v>3719</v>
      </c>
      <c r="J309">
        <v>4519</v>
      </c>
      <c r="K309">
        <v>4919</v>
      </c>
      <c r="L309">
        <v>5319</v>
      </c>
      <c r="M309">
        <v>1169</v>
      </c>
      <c r="N309">
        <v>1319</v>
      </c>
      <c r="O309">
        <v>1719</v>
      </c>
      <c r="P309">
        <v>1919</v>
      </c>
    </row>
    <row r="310" spans="2:16" ht="12.75">
      <c r="B310" t="s">
        <v>1331</v>
      </c>
      <c r="C310" t="s">
        <v>1251</v>
      </c>
      <c r="D310">
        <v>1</v>
      </c>
      <c r="E310">
        <v>6600</v>
      </c>
      <c r="F310">
        <v>7600</v>
      </c>
      <c r="G310">
        <v>8600</v>
      </c>
      <c r="H310">
        <v>9600</v>
      </c>
      <c r="I310">
        <v>4400</v>
      </c>
      <c r="J310">
        <v>5000</v>
      </c>
      <c r="K310">
        <v>5900</v>
      </c>
      <c r="L310">
        <v>6500</v>
      </c>
      <c r="M310">
        <v>2299</v>
      </c>
      <c r="N310">
        <v>2900</v>
      </c>
      <c r="O310">
        <v>3100</v>
      </c>
      <c r="P310">
        <v>4000</v>
      </c>
    </row>
    <row r="311" spans="2:16" ht="12.75">
      <c r="B311" t="s">
        <v>1339</v>
      </c>
      <c r="C311" t="s">
        <v>1340</v>
      </c>
      <c r="D311">
        <v>0.377</v>
      </c>
      <c r="E311">
        <v>2600</v>
      </c>
      <c r="F311">
        <v>2970</v>
      </c>
      <c r="G311">
        <v>3350</v>
      </c>
      <c r="H311">
        <v>3730</v>
      </c>
      <c r="I311">
        <v>2030</v>
      </c>
      <c r="J311">
        <v>2340</v>
      </c>
      <c r="K311">
        <v>2640</v>
      </c>
      <c r="L311">
        <v>2940</v>
      </c>
      <c r="M311">
        <v>1040</v>
      </c>
      <c r="N311">
        <v>1195</v>
      </c>
      <c r="O311">
        <v>1345</v>
      </c>
      <c r="P311">
        <v>1495</v>
      </c>
    </row>
    <row r="312" spans="2:16" ht="12.75">
      <c r="B312" t="s">
        <v>1341</v>
      </c>
      <c r="C312" t="s">
        <v>1342</v>
      </c>
      <c r="D312">
        <v>5.8154</v>
      </c>
      <c r="E312">
        <v>35400</v>
      </c>
      <c r="F312">
        <v>40810</v>
      </c>
      <c r="G312">
        <v>46270</v>
      </c>
      <c r="H312">
        <v>51710</v>
      </c>
      <c r="I312">
        <v>27290</v>
      </c>
      <c r="J312">
        <v>30320</v>
      </c>
      <c r="K312">
        <v>33350</v>
      </c>
      <c r="L312">
        <v>36390</v>
      </c>
      <c r="M312">
        <v>11570</v>
      </c>
      <c r="N312">
        <v>13590</v>
      </c>
      <c r="O312">
        <v>15600</v>
      </c>
      <c r="P312">
        <v>17650</v>
      </c>
    </row>
    <row r="313" spans="2:16" ht="12.75">
      <c r="B313" t="s">
        <v>1343</v>
      </c>
      <c r="C313" t="s">
        <v>1344</v>
      </c>
      <c r="D313">
        <v>8852</v>
      </c>
      <c r="E313">
        <v>59992000</v>
      </c>
      <c r="F313">
        <v>67992000</v>
      </c>
      <c r="G313">
        <v>79992000</v>
      </c>
      <c r="H313">
        <v>87992000</v>
      </c>
      <c r="I313">
        <v>42392000</v>
      </c>
      <c r="J313">
        <v>47992000</v>
      </c>
      <c r="K313">
        <v>55992000</v>
      </c>
      <c r="L313">
        <v>63992000</v>
      </c>
      <c r="M313">
        <v>21272000</v>
      </c>
      <c r="N313">
        <v>23992000</v>
      </c>
      <c r="O313">
        <v>27992000</v>
      </c>
      <c r="P313">
        <v>21992000</v>
      </c>
    </row>
    <row r="314" spans="2:16" ht="12.75">
      <c r="B314" t="s">
        <v>1332</v>
      </c>
      <c r="C314" t="s">
        <v>1251</v>
      </c>
      <c r="D314">
        <v>1</v>
      </c>
      <c r="E314">
        <v>6999</v>
      </c>
      <c r="F314">
        <v>8099</v>
      </c>
      <c r="G314">
        <v>9599</v>
      </c>
      <c r="H314">
        <v>10599</v>
      </c>
      <c r="I314">
        <v>4999</v>
      </c>
      <c r="J314">
        <v>5999</v>
      </c>
      <c r="K314">
        <v>6999</v>
      </c>
      <c r="L314">
        <v>7999</v>
      </c>
      <c r="M314">
        <v>2499</v>
      </c>
      <c r="N314">
        <v>2899</v>
      </c>
      <c r="O314">
        <v>3399</v>
      </c>
      <c r="P314">
        <v>3999</v>
      </c>
    </row>
    <row r="315" spans="2:16" ht="12.75">
      <c r="B315" t="s">
        <v>1334</v>
      </c>
      <c r="C315" t="s">
        <v>1345</v>
      </c>
      <c r="D315">
        <v>0.709</v>
      </c>
      <c r="E315">
        <v>4970</v>
      </c>
      <c r="F315">
        <v>5750</v>
      </c>
      <c r="G315">
        <v>6820</v>
      </c>
      <c r="H315">
        <v>7530</v>
      </c>
      <c r="I315">
        <v>3550</v>
      </c>
      <c r="J315">
        <v>4260</v>
      </c>
      <c r="K315">
        <v>4970</v>
      </c>
      <c r="L315">
        <v>5680</v>
      </c>
      <c r="M315">
        <v>1780</v>
      </c>
      <c r="N315">
        <v>2060</v>
      </c>
      <c r="O315">
        <v>2420</v>
      </c>
      <c r="P315">
        <v>2840</v>
      </c>
    </row>
    <row r="316" spans="2:16" ht="12.75">
      <c r="B316" t="s">
        <v>1337</v>
      </c>
      <c r="C316" t="s">
        <v>1346</v>
      </c>
      <c r="D316">
        <v>0.295</v>
      </c>
      <c r="E316">
        <v>2140</v>
      </c>
      <c r="F316">
        <v>2450</v>
      </c>
      <c r="G316">
        <v>2760</v>
      </c>
      <c r="H316">
        <v>3070</v>
      </c>
      <c r="I316">
        <v>1680</v>
      </c>
      <c r="J316">
        <v>1920</v>
      </c>
      <c r="K316">
        <v>2170</v>
      </c>
      <c r="L316">
        <v>2420</v>
      </c>
      <c r="M316">
        <v>833</v>
      </c>
      <c r="N316">
        <v>956</v>
      </c>
      <c r="O316">
        <v>1079</v>
      </c>
      <c r="P316">
        <v>1202</v>
      </c>
    </row>
    <row r="317" spans="2:16" ht="12.75">
      <c r="B317" t="s">
        <v>1333</v>
      </c>
      <c r="C317" t="s">
        <v>1251</v>
      </c>
      <c r="D317">
        <v>1</v>
      </c>
      <c r="E317">
        <v>6999</v>
      </c>
      <c r="F317">
        <v>8099</v>
      </c>
      <c r="G317">
        <v>9599</v>
      </c>
      <c r="H317">
        <v>10599</v>
      </c>
      <c r="I317">
        <v>4999</v>
      </c>
      <c r="J317">
        <v>5999</v>
      </c>
      <c r="K317">
        <v>6999</v>
      </c>
      <c r="L317">
        <v>7999</v>
      </c>
      <c r="M317">
        <v>2499</v>
      </c>
      <c r="N317">
        <v>2899</v>
      </c>
      <c r="O317">
        <v>3399</v>
      </c>
      <c r="P317">
        <v>3999</v>
      </c>
    </row>
    <row r="318" spans="2:16" ht="12.75">
      <c r="B318" t="s">
        <v>1335</v>
      </c>
      <c r="C318" t="s">
        <v>1347</v>
      </c>
      <c r="D318">
        <v>0.384995</v>
      </c>
      <c r="E318">
        <v>2630</v>
      </c>
      <c r="F318">
        <v>3010</v>
      </c>
      <c r="G318">
        <v>3400</v>
      </c>
      <c r="H318">
        <v>3780</v>
      </c>
      <c r="I318">
        <v>2060</v>
      </c>
      <c r="J318">
        <v>2370</v>
      </c>
      <c r="K318">
        <v>2670</v>
      </c>
      <c r="L318">
        <v>2980</v>
      </c>
      <c r="M318">
        <v>1069</v>
      </c>
      <c r="N318">
        <v>1223</v>
      </c>
      <c r="O318">
        <v>1377</v>
      </c>
      <c r="P318">
        <v>1531</v>
      </c>
    </row>
    <row r="319" spans="2:16" ht="12.75">
      <c r="B319" t="s">
        <v>1338</v>
      </c>
      <c r="C319" t="s">
        <v>1348</v>
      </c>
      <c r="D319">
        <v>3.64</v>
      </c>
      <c r="E319">
        <v>25190</v>
      </c>
      <c r="F319">
        <v>28840</v>
      </c>
      <c r="G319">
        <v>32490</v>
      </c>
      <c r="H319">
        <v>36140</v>
      </c>
      <c r="I319">
        <v>19710</v>
      </c>
      <c r="J319">
        <v>22630</v>
      </c>
      <c r="K319">
        <v>25550</v>
      </c>
      <c r="L319">
        <v>28470</v>
      </c>
      <c r="M319">
        <v>10100</v>
      </c>
      <c r="N319">
        <v>11560</v>
      </c>
      <c r="O319">
        <v>13010</v>
      </c>
      <c r="P319">
        <v>14470</v>
      </c>
    </row>
    <row r="320" spans="2:16" ht="12.75">
      <c r="B320" t="s">
        <v>1362</v>
      </c>
      <c r="C320" t="s">
        <v>1349</v>
      </c>
      <c r="D320">
        <v>3.75025</v>
      </c>
      <c r="E320">
        <v>25890</v>
      </c>
      <c r="F320">
        <v>29640</v>
      </c>
      <c r="G320">
        <v>33390</v>
      </c>
      <c r="H320">
        <v>37140</v>
      </c>
      <c r="I320">
        <v>20260</v>
      </c>
      <c r="J320">
        <v>23260</v>
      </c>
      <c r="K320">
        <v>26260</v>
      </c>
      <c r="L320">
        <v>29260</v>
      </c>
      <c r="M320">
        <v>10400</v>
      </c>
      <c r="N320">
        <v>11900</v>
      </c>
      <c r="O320">
        <v>13400</v>
      </c>
      <c r="P320">
        <v>14900</v>
      </c>
    </row>
    <row r="321" spans="2:16" ht="12.75">
      <c r="B321" t="s">
        <v>1336</v>
      </c>
      <c r="C321" t="s">
        <v>1350</v>
      </c>
      <c r="D321">
        <v>51.975</v>
      </c>
      <c r="E321">
        <v>293960</v>
      </c>
      <c r="F321">
        <v>340160</v>
      </c>
      <c r="G321">
        <v>403160</v>
      </c>
      <c r="H321">
        <v>445160</v>
      </c>
      <c r="I321">
        <v>209960</v>
      </c>
      <c r="J321">
        <v>251960</v>
      </c>
      <c r="K321">
        <v>293960</v>
      </c>
      <c r="L321">
        <v>335960</v>
      </c>
      <c r="M321">
        <v>104960</v>
      </c>
      <c r="N321">
        <v>121760</v>
      </c>
      <c r="O321">
        <v>142760</v>
      </c>
      <c r="P321">
        <v>167960</v>
      </c>
    </row>
    <row r="322" spans="2:16" ht="12.75">
      <c r="B322" t="s">
        <v>1365</v>
      </c>
      <c r="C322" t="s">
        <v>1351</v>
      </c>
      <c r="D322">
        <v>3.673</v>
      </c>
      <c r="E322">
        <v>25210</v>
      </c>
      <c r="F322">
        <v>28860</v>
      </c>
      <c r="G322">
        <v>32520</v>
      </c>
      <c r="H322">
        <v>36170</v>
      </c>
      <c r="I322">
        <v>19730</v>
      </c>
      <c r="J322">
        <v>22650</v>
      </c>
      <c r="K322">
        <v>25580</v>
      </c>
      <c r="L322">
        <v>28500</v>
      </c>
      <c r="M322">
        <v>10200</v>
      </c>
      <c r="N322">
        <v>11600</v>
      </c>
      <c r="O322">
        <v>13200</v>
      </c>
      <c r="P322">
        <v>14600</v>
      </c>
    </row>
    <row r="323" spans="2:16" ht="12.75">
      <c r="B323" t="s">
        <v>1352</v>
      </c>
      <c r="C323" t="s">
        <v>1353</v>
      </c>
      <c r="D323">
        <v>1.2981112481339652</v>
      </c>
      <c r="F323">
        <v>13269</v>
      </c>
      <c r="G323">
        <v>14249</v>
      </c>
      <c r="H323">
        <v>15229</v>
      </c>
      <c r="J323">
        <v>9539</v>
      </c>
      <c r="K323">
        <v>10509</v>
      </c>
      <c r="L323">
        <v>15229</v>
      </c>
      <c r="N323">
        <v>2939</v>
      </c>
      <c r="O323">
        <v>3309</v>
      </c>
      <c r="P323">
        <v>3839</v>
      </c>
    </row>
    <row r="324" spans="2:16" ht="12.75">
      <c r="B324" t="s">
        <v>1363</v>
      </c>
      <c r="C324" t="s">
        <v>1354</v>
      </c>
      <c r="D324">
        <v>1.408153207068929</v>
      </c>
      <c r="F324">
        <v>13899</v>
      </c>
      <c r="G324">
        <v>15289</v>
      </c>
      <c r="H324">
        <v>16979</v>
      </c>
      <c r="J324">
        <v>9849</v>
      </c>
      <c r="K324">
        <v>11309</v>
      </c>
      <c r="L324">
        <v>12759</v>
      </c>
      <c r="N324">
        <v>3629</v>
      </c>
      <c r="O324">
        <v>3799</v>
      </c>
      <c r="P324">
        <v>4289</v>
      </c>
    </row>
    <row r="325" spans="2:16" ht="12.75">
      <c r="B325" t="s">
        <v>1366</v>
      </c>
      <c r="C325" t="s">
        <v>1251</v>
      </c>
      <c r="D325">
        <v>1</v>
      </c>
      <c r="E325">
        <v>8400</v>
      </c>
      <c r="F325">
        <v>9100</v>
      </c>
      <c r="G325">
        <v>10000</v>
      </c>
      <c r="H325">
        <v>11500</v>
      </c>
      <c r="I325">
        <v>6600</v>
      </c>
      <c r="J325">
        <v>7400</v>
      </c>
      <c r="K325">
        <v>8300</v>
      </c>
      <c r="L325">
        <v>9500</v>
      </c>
      <c r="M325">
        <v>3500</v>
      </c>
      <c r="N325">
        <v>3800</v>
      </c>
      <c r="O325">
        <v>4600</v>
      </c>
      <c r="P325">
        <v>5000</v>
      </c>
    </row>
    <row r="326" spans="2:16" ht="12.75">
      <c r="B326" t="s">
        <v>1355</v>
      </c>
      <c r="C326" t="s">
        <v>1356</v>
      </c>
      <c r="D326">
        <v>1.24955</v>
      </c>
      <c r="E326">
        <v>10900</v>
      </c>
      <c r="F326">
        <v>11600</v>
      </c>
      <c r="G326">
        <v>13300</v>
      </c>
      <c r="H326">
        <v>15300</v>
      </c>
      <c r="I326">
        <v>8000</v>
      </c>
      <c r="J326">
        <v>8900</v>
      </c>
      <c r="K326">
        <v>10300</v>
      </c>
      <c r="L326">
        <v>11600</v>
      </c>
      <c r="M326">
        <v>3900</v>
      </c>
      <c r="N326">
        <v>4300</v>
      </c>
      <c r="O326">
        <v>5000</v>
      </c>
      <c r="P326">
        <v>5900</v>
      </c>
    </row>
    <row r="327" spans="2:16" ht="12.75">
      <c r="B327" t="s">
        <v>1364</v>
      </c>
      <c r="C327" t="s">
        <v>1251</v>
      </c>
      <c r="D327">
        <v>1</v>
      </c>
      <c r="F327">
        <v>8900</v>
      </c>
      <c r="G327">
        <v>10000</v>
      </c>
      <c r="H327">
        <v>11500</v>
      </c>
      <c r="J327">
        <v>7100</v>
      </c>
      <c r="K327">
        <v>8000</v>
      </c>
      <c r="L327">
        <v>9400</v>
      </c>
      <c r="N327">
        <v>2950</v>
      </c>
      <c r="O327">
        <v>3500</v>
      </c>
      <c r="P327">
        <v>3900</v>
      </c>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2"/>
  <dimension ref="B2:AJ80"/>
  <sheetViews>
    <sheetView workbookViewId="0" topLeftCell="O30">
      <selection activeCell="Q36" sqref="Q36"/>
    </sheetView>
  </sheetViews>
  <sheetFormatPr defaultColWidth="9.140625" defaultRowHeight="12.75"/>
  <cols>
    <col min="1" max="2" width="8.8515625" style="0" customWidth="1"/>
    <col min="3" max="3" width="12.140625" style="0" bestFit="1" customWidth="1"/>
    <col min="4" max="10" width="8.8515625" style="0" customWidth="1"/>
    <col min="11" max="11" width="9.421875" style="0" bestFit="1" customWidth="1"/>
    <col min="12" max="12" width="8.8515625" style="0" customWidth="1"/>
    <col min="13" max="13" width="14.7109375" style="0" bestFit="1" customWidth="1"/>
    <col min="14" max="14" width="8.8515625" style="0" customWidth="1"/>
    <col min="15" max="15" width="21.140625" style="0" customWidth="1"/>
    <col min="16" max="16" width="55.57421875" style="0" customWidth="1"/>
    <col min="17" max="17" width="5.421875" style="0" customWidth="1"/>
    <col min="18" max="18" width="10.28125" style="0" customWidth="1"/>
    <col min="19" max="22" width="11.8515625" style="0" customWidth="1"/>
    <col min="23" max="23" width="7.00390625" style="0" customWidth="1"/>
    <col min="24" max="24" width="14.28125" style="0" customWidth="1"/>
    <col min="25" max="25" width="15.421875" style="0" customWidth="1"/>
    <col min="26" max="26" width="28.8515625" style="0" customWidth="1"/>
    <col min="27" max="27" width="39.421875" style="0" customWidth="1"/>
    <col min="28" max="28" width="28.8515625" style="0" customWidth="1"/>
    <col min="29" max="29" width="14.7109375" style="0" customWidth="1"/>
    <col min="30" max="30" width="29.7109375" style="0" customWidth="1"/>
    <col min="31" max="31" width="22.140625" style="0" customWidth="1"/>
    <col min="32" max="32" width="11.8515625" style="0" customWidth="1"/>
    <col min="33" max="33" width="39.421875" style="0" customWidth="1"/>
    <col min="34" max="34" width="11.8515625" style="0" customWidth="1"/>
    <col min="35" max="35" width="7.00390625" style="0" customWidth="1"/>
    <col min="36" max="16384" width="8.8515625" style="0" customWidth="1"/>
  </cols>
  <sheetData>
    <row r="2" spans="6:11" ht="12.75">
      <c r="F2" t="s">
        <v>1371</v>
      </c>
      <c r="G2" t="str">
        <f>dfx</f>
        <v>USD</v>
      </c>
      <c r="H2">
        <f>VLOOKUP(G2,fx,3,FALSE)</f>
        <v>1</v>
      </c>
      <c r="K2" s="45"/>
    </row>
    <row r="3" spans="10:11" ht="12.75">
      <c r="J3" t="s">
        <v>994</v>
      </c>
      <c r="K3" s="45">
        <v>39570.77758101852</v>
      </c>
    </row>
    <row r="4" ht="12.75">
      <c r="D4" t="s">
        <v>1529</v>
      </c>
    </row>
    <row r="5" spans="2:20" ht="12.75">
      <c r="B5" t="str">
        <f>LEFT(C5,3)</f>
        <v>DJF</v>
      </c>
      <c r="C5" t="s">
        <v>1530</v>
      </c>
      <c r="D5" t="e">
        <v>#NAME?</v>
      </c>
      <c r="F5" t="s">
        <v>1583</v>
      </c>
      <c r="G5">
        <v>177.72</v>
      </c>
      <c r="H5">
        <f>G5</f>
        <v>177.72</v>
      </c>
      <c r="K5" t="s">
        <v>1351</v>
      </c>
      <c r="L5" t="str">
        <f>F5</f>
        <v>DJF</v>
      </c>
      <c r="O5" s="59"/>
      <c r="P5" s="59"/>
      <c r="Q5" s="59"/>
      <c r="R5" s="59"/>
      <c r="S5" s="59"/>
      <c r="T5" s="59"/>
    </row>
    <row r="6" spans="2:36" ht="12.75">
      <c r="B6" t="str">
        <f aca="true" t="shared" si="0" ref="B6:B49">LEFT(C6,3)</f>
        <v>USD</v>
      </c>
      <c r="C6" t="s">
        <v>1531</v>
      </c>
      <c r="D6" t="e">
        <v>#NAME?</v>
      </c>
      <c r="F6" t="s">
        <v>1251</v>
      </c>
      <c r="G6">
        <v>1</v>
      </c>
      <c r="H6">
        <f aca="true" t="shared" si="1" ref="H6:H21">G6</f>
        <v>1</v>
      </c>
      <c r="K6" t="s">
        <v>1353</v>
      </c>
      <c r="L6" t="str">
        <f>L5&amp;"_"&amp;F6</f>
        <v>DJF_USD</v>
      </c>
      <c r="O6" s="59"/>
      <c r="P6" s="59"/>
      <c r="Q6" s="59"/>
      <c r="R6" s="59"/>
      <c r="S6" s="59"/>
      <c r="T6" s="59"/>
      <c r="AI6">
        <f>H5</f>
        <v>177.72</v>
      </c>
      <c r="AJ6" s="58" t="e">
        <f>AI6/V6-1</f>
        <v>#DIV/0!</v>
      </c>
    </row>
    <row r="7" spans="2:36" ht="12.75">
      <c r="B7" t="str">
        <f t="shared" si="0"/>
        <v>MUR</v>
      </c>
      <c r="C7" t="s">
        <v>1532</v>
      </c>
      <c r="D7" t="e">
        <v>#NAME?</v>
      </c>
      <c r="F7" t="s">
        <v>1254</v>
      </c>
      <c r="G7">
        <v>31.2</v>
      </c>
      <c r="H7">
        <f t="shared" si="1"/>
        <v>31.2</v>
      </c>
      <c r="K7" t="s">
        <v>1340</v>
      </c>
      <c r="L7" t="str">
        <f aca="true" t="shared" si="2" ref="L7:L57">L6&amp;"_"&amp;F7</f>
        <v>DJF_USD_MUR</v>
      </c>
      <c r="O7" s="59"/>
      <c r="P7" s="59" t="s">
        <v>168</v>
      </c>
      <c r="Q7" s="59"/>
      <c r="R7" s="59"/>
      <c r="S7" s="59"/>
      <c r="T7" s="59"/>
      <c r="AI7">
        <f aca="true" t="shared" si="3" ref="AI7:AI59">H6</f>
        <v>1</v>
      </c>
      <c r="AJ7" s="58" t="e">
        <f aca="true" t="shared" si="4" ref="AJ7:AJ13">AI7/V7-1</f>
        <v>#DIV/0!</v>
      </c>
    </row>
    <row r="8" spans="2:36" ht="12.75">
      <c r="B8" t="str">
        <f t="shared" si="0"/>
        <v>NAD</v>
      </c>
      <c r="C8" t="s">
        <v>1533</v>
      </c>
      <c r="D8" t="e">
        <v>#NAME?</v>
      </c>
      <c r="F8" t="s">
        <v>1255</v>
      </c>
      <c r="G8">
        <v>6.04725</v>
      </c>
      <c r="H8">
        <f t="shared" si="1"/>
        <v>6.04725</v>
      </c>
      <c r="K8" t="s">
        <v>1356</v>
      </c>
      <c r="L8" t="str">
        <f t="shared" si="2"/>
        <v>DJF_USD_MUR_NAD</v>
      </c>
      <c r="O8" s="59"/>
      <c r="P8" s="59"/>
      <c r="Q8" s="59"/>
      <c r="R8" s="59"/>
      <c r="S8" s="59"/>
      <c r="T8" s="59"/>
      <c r="AI8">
        <f t="shared" si="3"/>
        <v>31.2</v>
      </c>
      <c r="AJ8" s="58" t="e">
        <f t="shared" si="4"/>
        <v>#DIV/0!</v>
      </c>
    </row>
    <row r="9" spans="2:36" ht="12.75">
      <c r="B9" t="str">
        <f t="shared" si="0"/>
        <v>SCR</v>
      </c>
      <c r="C9" t="s">
        <v>1534</v>
      </c>
      <c r="D9" t="e">
        <v>#NAME?</v>
      </c>
      <c r="F9" t="s">
        <v>1256</v>
      </c>
      <c r="G9">
        <v>5.42</v>
      </c>
      <c r="H9">
        <f t="shared" si="1"/>
        <v>5.42</v>
      </c>
      <c r="K9" t="s">
        <v>1325</v>
      </c>
      <c r="L9" t="str">
        <f t="shared" si="2"/>
        <v>DJF_USD_MUR_NAD_SCR</v>
      </c>
      <c r="O9" s="59"/>
      <c r="P9" s="59" t="s">
        <v>1370</v>
      </c>
      <c r="Q9" s="59" t="s">
        <v>141</v>
      </c>
      <c r="R9" s="59" t="s">
        <v>142</v>
      </c>
      <c r="S9" s="59" t="s">
        <v>143</v>
      </c>
      <c r="T9" s="59"/>
      <c r="AI9">
        <f t="shared" si="3"/>
        <v>6.04725</v>
      </c>
      <c r="AJ9" s="58" t="e">
        <f t="shared" si="4"/>
        <v>#DIV/0!</v>
      </c>
    </row>
    <row r="10" spans="2:36" ht="12.75">
      <c r="B10" t="str">
        <f t="shared" si="0"/>
        <v>ZAR</v>
      </c>
      <c r="C10" t="s">
        <v>1535</v>
      </c>
      <c r="D10" t="e">
        <v>#NAME?</v>
      </c>
      <c r="F10" t="s">
        <v>1257</v>
      </c>
      <c r="G10">
        <v>6.04725</v>
      </c>
      <c r="H10">
        <f t="shared" si="1"/>
        <v>6.04725</v>
      </c>
      <c r="K10" t="s">
        <v>1269</v>
      </c>
      <c r="L10" t="str">
        <f t="shared" si="2"/>
        <v>DJF_USD_MUR_NAD_SCR_ZAR</v>
      </c>
      <c r="O10" s="59"/>
      <c r="P10" s="59" t="s">
        <v>188</v>
      </c>
      <c r="Q10" s="59" t="s">
        <v>1583</v>
      </c>
      <c r="R10" s="59">
        <v>0.005808</v>
      </c>
      <c r="S10" s="59">
        <v>177.93</v>
      </c>
      <c r="T10" s="59"/>
      <c r="AI10">
        <f t="shared" si="3"/>
        <v>5.42</v>
      </c>
      <c r="AJ10" s="58" t="e">
        <f t="shared" si="4"/>
        <v>#DIV/0!</v>
      </c>
    </row>
    <row r="11" spans="2:36" ht="12.75">
      <c r="B11" t="str">
        <f t="shared" si="0"/>
        <v>CNY</v>
      </c>
      <c r="C11" t="s">
        <v>1536</v>
      </c>
      <c r="D11" t="e">
        <v>#NAME?</v>
      </c>
      <c r="F11" t="s">
        <v>1269</v>
      </c>
      <c r="G11">
        <v>8.0685</v>
      </c>
      <c r="H11">
        <f t="shared" si="1"/>
        <v>8.0685</v>
      </c>
      <c r="K11" t="s">
        <v>1314</v>
      </c>
      <c r="L11" t="str">
        <f t="shared" si="2"/>
        <v>DJF_USD_MUR_NAD_SCR_ZAR_CNY</v>
      </c>
      <c r="O11" s="59"/>
      <c r="P11" s="59" t="s">
        <v>189</v>
      </c>
      <c r="Q11" s="59" t="s">
        <v>1251</v>
      </c>
      <c r="R11" s="59">
        <v>1</v>
      </c>
      <c r="S11" s="59">
        <v>1</v>
      </c>
      <c r="T11" s="59"/>
      <c r="AI11">
        <f t="shared" si="3"/>
        <v>6.04725</v>
      </c>
      <c r="AJ11" s="58" t="e">
        <f t="shared" si="4"/>
        <v>#DIV/0!</v>
      </c>
    </row>
    <row r="12" spans="2:36" ht="12.75">
      <c r="B12" t="str">
        <f t="shared" si="0"/>
        <v>HKD</v>
      </c>
      <c r="C12" t="s">
        <v>1537</v>
      </c>
      <c r="D12" t="e">
        <v>#NAME?</v>
      </c>
      <c r="F12" t="s">
        <v>1270</v>
      </c>
      <c r="G12">
        <v>7.75375</v>
      </c>
      <c r="H12">
        <f t="shared" si="1"/>
        <v>7.75375</v>
      </c>
      <c r="K12" t="s">
        <v>1315</v>
      </c>
      <c r="L12" t="str">
        <f t="shared" si="2"/>
        <v>DJF_USD_MUR_NAD_SCR_ZAR_CNY_HKD</v>
      </c>
      <c r="O12" s="59"/>
      <c r="P12" s="59" t="s">
        <v>190</v>
      </c>
      <c r="Q12" s="59" t="s">
        <v>1254</v>
      </c>
      <c r="R12" s="59">
        <v>0.0392</v>
      </c>
      <c r="S12" s="59">
        <v>26.467</v>
      </c>
      <c r="T12" s="59"/>
      <c r="AI12">
        <f t="shared" si="3"/>
        <v>8.0685</v>
      </c>
      <c r="AJ12" s="58" t="e">
        <f t="shared" si="4"/>
        <v>#DIV/0!</v>
      </c>
    </row>
    <row r="13" spans="2:36" ht="27.75" customHeight="1">
      <c r="B13" t="str">
        <f t="shared" si="0"/>
        <v>INR</v>
      </c>
      <c r="C13" t="s">
        <v>1538</v>
      </c>
      <c r="D13" t="e">
        <v>#NAME?</v>
      </c>
      <c r="F13" t="s">
        <v>1272</v>
      </c>
      <c r="G13">
        <v>44.4675</v>
      </c>
      <c r="H13">
        <f t="shared" si="1"/>
        <v>44.4675</v>
      </c>
      <c r="K13" t="s">
        <v>1583</v>
      </c>
      <c r="L13" t="str">
        <f t="shared" si="2"/>
        <v>DJF_USD_MUR_NAD_SCR_ZAR_CNY_HKD_INR</v>
      </c>
      <c r="O13" s="59"/>
      <c r="P13" s="59" t="s">
        <v>191</v>
      </c>
      <c r="Q13" s="59" t="s">
        <v>1255</v>
      </c>
      <c r="R13" s="59">
        <v>0.1343</v>
      </c>
      <c r="S13" s="59">
        <v>7.6762</v>
      </c>
      <c r="T13" s="59"/>
      <c r="AI13">
        <f t="shared" si="3"/>
        <v>7.75375</v>
      </c>
      <c r="AJ13" s="58" t="e">
        <f t="shared" si="4"/>
        <v>#DIV/0!</v>
      </c>
    </row>
    <row r="14" spans="2:36" ht="22.5" customHeight="1">
      <c r="B14" t="str">
        <f t="shared" si="0"/>
        <v>JPY</v>
      </c>
      <c r="C14" t="s">
        <v>1539</v>
      </c>
      <c r="D14" t="e">
        <v>#NAME?</v>
      </c>
      <c r="F14" t="s">
        <v>1273</v>
      </c>
      <c r="G14">
        <v>115.345</v>
      </c>
      <c r="H14">
        <f t="shared" si="1"/>
        <v>115.345</v>
      </c>
      <c r="K14" t="s">
        <v>1316</v>
      </c>
      <c r="L14" t="str">
        <f t="shared" si="2"/>
        <v>DJF_USD_MUR_NAD_SCR_ZAR_CNY_HKD_INR_JPY</v>
      </c>
      <c r="O14" s="59"/>
      <c r="P14" s="59" t="s">
        <v>192</v>
      </c>
      <c r="Q14" s="59" t="s">
        <v>1256</v>
      </c>
      <c r="R14" s="59">
        <v>0.1273</v>
      </c>
      <c r="S14" s="59">
        <v>8.0579</v>
      </c>
      <c r="T14" s="59"/>
      <c r="AI14">
        <f t="shared" si="3"/>
        <v>44.4675</v>
      </c>
      <c r="AJ14" s="58" t="e">
        <f>AI14/#REF!-1</f>
        <v>#REF!</v>
      </c>
    </row>
    <row r="15" spans="2:36" ht="27" customHeight="1">
      <c r="B15" t="str">
        <f t="shared" si="0"/>
        <v>KRW</v>
      </c>
      <c r="C15" t="s">
        <v>1540</v>
      </c>
      <c r="D15" t="e">
        <v>#NAME?</v>
      </c>
      <c r="F15" t="s">
        <v>1274</v>
      </c>
      <c r="G15">
        <v>992.15</v>
      </c>
      <c r="H15">
        <f t="shared" si="1"/>
        <v>992.15</v>
      </c>
      <c r="K15" t="s">
        <v>1317</v>
      </c>
      <c r="L15" t="str">
        <f t="shared" si="2"/>
        <v>DJF_USD_MUR_NAD_SCR_ZAR_CNY_HKD_INR_JPY_KRW</v>
      </c>
      <c r="O15" s="59"/>
      <c r="P15" s="59" t="s">
        <v>193</v>
      </c>
      <c r="Q15" s="59" t="s">
        <v>1257</v>
      </c>
      <c r="R15" s="59">
        <v>0.132</v>
      </c>
      <c r="S15" s="59">
        <v>7.5881</v>
      </c>
      <c r="T15" s="59"/>
      <c r="AI15">
        <f t="shared" si="3"/>
        <v>115.345</v>
      </c>
      <c r="AJ15" s="58" t="e">
        <f>AI15/#REF!-1</f>
        <v>#REF!</v>
      </c>
    </row>
    <row r="16" spans="2:36" ht="25.5" customHeight="1">
      <c r="B16" t="str">
        <f t="shared" si="0"/>
        <v>MYR</v>
      </c>
      <c r="C16" t="s">
        <v>1541</v>
      </c>
      <c r="D16" t="e">
        <v>#NAME?</v>
      </c>
      <c r="F16" t="s">
        <v>1275</v>
      </c>
      <c r="G16">
        <v>3.75625</v>
      </c>
      <c r="H16">
        <f t="shared" si="1"/>
        <v>3.75625</v>
      </c>
      <c r="K16" t="s">
        <v>1342</v>
      </c>
      <c r="L16" t="str">
        <f t="shared" si="2"/>
        <v>DJF_USD_MUR_NAD_SCR_ZAR_CNY_HKD_INR_JPY_KRW_MYR</v>
      </c>
      <c r="O16" s="59"/>
      <c r="P16" s="59" t="s">
        <v>194</v>
      </c>
      <c r="Q16" s="59" t="s">
        <v>1269</v>
      </c>
      <c r="R16" s="59">
        <v>0.1433</v>
      </c>
      <c r="S16" s="59">
        <v>6.9985</v>
      </c>
      <c r="T16" s="59"/>
      <c r="AI16">
        <f t="shared" si="3"/>
        <v>992.15</v>
      </c>
      <c r="AJ16" s="58" t="e">
        <f>AI16/#REF!-1</f>
        <v>#REF!</v>
      </c>
    </row>
    <row r="17" spans="2:36" ht="12.75">
      <c r="B17" t="str">
        <f t="shared" si="0"/>
        <v>PKR</v>
      </c>
      <c r="C17" t="s">
        <v>1542</v>
      </c>
      <c r="D17" t="e">
        <v>#NAME?</v>
      </c>
      <c r="F17" t="s">
        <v>1276</v>
      </c>
      <c r="G17">
        <v>59.865</v>
      </c>
      <c r="H17">
        <f t="shared" si="1"/>
        <v>59.865</v>
      </c>
      <c r="K17" t="s">
        <v>1308</v>
      </c>
      <c r="L17" t="str">
        <f t="shared" si="2"/>
        <v>DJF_USD_MUR_NAD_SCR_ZAR_CNY_HKD_INR_JPY_KRW_MYR_PKR</v>
      </c>
      <c r="O17" s="59"/>
      <c r="P17" s="59" t="s">
        <v>195</v>
      </c>
      <c r="Q17" s="59" t="s">
        <v>1270</v>
      </c>
      <c r="R17" s="59">
        <v>0.1283</v>
      </c>
      <c r="S17" s="59">
        <v>7.7934</v>
      </c>
      <c r="T17" s="59"/>
      <c r="AI17">
        <f t="shared" si="3"/>
        <v>3.75625</v>
      </c>
      <c r="AJ17" s="58" t="e">
        <f>AI17/#REF!-1</f>
        <v>#REF!</v>
      </c>
    </row>
    <row r="18" spans="2:36" ht="49.5" customHeight="1">
      <c r="B18" t="str">
        <f t="shared" si="0"/>
        <v>SGD</v>
      </c>
      <c r="C18" t="s">
        <v>1543</v>
      </c>
      <c r="D18" t="e">
        <v>#NAME?</v>
      </c>
      <c r="F18" t="s">
        <v>1277</v>
      </c>
      <c r="G18">
        <v>1.63055</v>
      </c>
      <c r="H18">
        <f t="shared" si="1"/>
        <v>1.63055</v>
      </c>
      <c r="K18" t="s">
        <v>1169</v>
      </c>
      <c r="L18" t="str">
        <f t="shared" si="2"/>
        <v>DJF_USD_MUR_NAD_SCR_ZAR_CNY_HKD_INR_JPY_KRW_MYR_PKR_SGD</v>
      </c>
      <c r="O18" s="59"/>
      <c r="P18" s="59" t="s">
        <v>196</v>
      </c>
      <c r="Q18" s="59" t="s">
        <v>1272</v>
      </c>
      <c r="R18" s="59">
        <v>0.02469</v>
      </c>
      <c r="S18" s="59">
        <v>40.51</v>
      </c>
      <c r="T18" s="59"/>
      <c r="AI18">
        <f t="shared" si="3"/>
        <v>59.865</v>
      </c>
      <c r="AJ18" s="58" t="e">
        <f>AI18/#REF!-1</f>
        <v>#REF!</v>
      </c>
    </row>
    <row r="19" spans="2:36" ht="12.75">
      <c r="B19" t="str">
        <f t="shared" si="0"/>
        <v>LKR</v>
      </c>
      <c r="C19" t="s">
        <v>1544</v>
      </c>
      <c r="D19" t="e">
        <v>#NAME?</v>
      </c>
      <c r="F19" t="s">
        <v>1278</v>
      </c>
      <c r="G19">
        <v>102.155</v>
      </c>
      <c r="H19">
        <f t="shared" si="1"/>
        <v>102.155</v>
      </c>
      <c r="K19" t="s">
        <v>1330</v>
      </c>
      <c r="L19" t="str">
        <f t="shared" si="2"/>
        <v>DJF_USD_MUR_NAD_SCR_ZAR_CNY_HKD_INR_JPY_KRW_MYR_PKR_SGD_LKR</v>
      </c>
      <c r="O19" s="59"/>
      <c r="P19" s="59" t="s">
        <v>148</v>
      </c>
      <c r="Q19" s="59" t="s">
        <v>1273</v>
      </c>
      <c r="R19" s="59">
        <v>0.009619</v>
      </c>
      <c r="S19" s="59">
        <v>103.979</v>
      </c>
      <c r="T19" s="59"/>
      <c r="AI19">
        <f t="shared" si="3"/>
        <v>1.63055</v>
      </c>
      <c r="AJ19" s="58" t="e">
        <f>AI19/#REF!-1</f>
        <v>#REF!</v>
      </c>
    </row>
    <row r="20" spans="2:36" ht="12.75">
      <c r="B20" t="str">
        <f t="shared" si="0"/>
        <v>TWD</v>
      </c>
      <c r="C20" t="s">
        <v>1545</v>
      </c>
      <c r="D20" t="e">
        <v>#NAME?</v>
      </c>
      <c r="F20" t="s">
        <v>1279</v>
      </c>
      <c r="G20">
        <v>32.121</v>
      </c>
      <c r="H20">
        <f t="shared" si="1"/>
        <v>32.121</v>
      </c>
      <c r="K20" t="s">
        <v>1318</v>
      </c>
      <c r="L20" t="str">
        <f t="shared" si="2"/>
        <v>DJF_USD_MUR_NAD_SCR_ZAR_CNY_HKD_INR_JPY_KRW_MYR_PKR_SGD_LKR_TWD</v>
      </c>
      <c r="O20" s="59"/>
      <c r="P20" s="59" t="s">
        <v>197</v>
      </c>
      <c r="Q20" s="59" t="s">
        <v>1274</v>
      </c>
      <c r="R20" s="59">
        <v>0.0009908</v>
      </c>
      <c r="S20" s="59">
        <v>1011.22</v>
      </c>
      <c r="T20" s="59"/>
      <c r="AI20">
        <f t="shared" si="3"/>
        <v>102.155</v>
      </c>
      <c r="AJ20" s="58" t="e">
        <f>AI20/#REF!-1</f>
        <v>#REF!</v>
      </c>
    </row>
    <row r="21" spans="2:36" ht="12.75" customHeight="1">
      <c r="B21" t="str">
        <f t="shared" si="0"/>
        <v>THB</v>
      </c>
      <c r="C21" t="s">
        <v>1546</v>
      </c>
      <c r="D21" t="e">
        <v>#NAME?</v>
      </c>
      <c r="F21" t="s">
        <v>1281</v>
      </c>
      <c r="G21">
        <v>39.42</v>
      </c>
      <c r="H21">
        <f t="shared" si="1"/>
        <v>39.42</v>
      </c>
      <c r="K21" t="s">
        <v>1270</v>
      </c>
      <c r="L21" t="str">
        <f t="shared" si="2"/>
        <v>DJF_USD_MUR_NAD_SCR_ZAR_CNY_HKD_INR_JPY_KRW_MYR_PKR_SGD_LKR_TWD_THB</v>
      </c>
      <c r="O21" s="59"/>
      <c r="P21" s="59" t="s">
        <v>198</v>
      </c>
      <c r="Q21" s="59" t="s">
        <v>1275</v>
      </c>
      <c r="R21" s="59">
        <v>0.3144</v>
      </c>
      <c r="S21" s="59">
        <v>3.1831</v>
      </c>
      <c r="T21" s="59"/>
      <c r="AI21">
        <f t="shared" si="3"/>
        <v>32.121</v>
      </c>
      <c r="AJ21" s="58" t="e">
        <f>AI21/#REF!-1</f>
        <v>#REF!</v>
      </c>
    </row>
    <row r="22" spans="2:36" ht="12.75">
      <c r="B22" t="str">
        <f t="shared" si="0"/>
        <v>EUR</v>
      </c>
      <c r="C22" t="s">
        <v>1528</v>
      </c>
      <c r="D22" t="e">
        <v>#NAME?</v>
      </c>
      <c r="F22" t="s">
        <v>1308</v>
      </c>
      <c r="G22">
        <v>1.2094</v>
      </c>
      <c r="H22" s="1">
        <f>1/G22</f>
        <v>0.8268562923763849</v>
      </c>
      <c r="K22" t="s">
        <v>1319</v>
      </c>
      <c r="L22" t="str">
        <f t="shared" si="2"/>
        <v>DJF_USD_MUR_NAD_SCR_ZAR_CNY_HKD_INR_JPY_KRW_MYR_PKR_SGD_LKR_TWD_THB_EUR</v>
      </c>
      <c r="O22" s="59"/>
      <c r="P22" s="59" t="s">
        <v>199</v>
      </c>
      <c r="Q22" s="59" t="s">
        <v>1276</v>
      </c>
      <c r="R22" s="59">
        <v>0.01548</v>
      </c>
      <c r="S22" s="59">
        <v>64.6129</v>
      </c>
      <c r="T22" s="59"/>
      <c r="AI22">
        <f t="shared" si="3"/>
        <v>39.42</v>
      </c>
      <c r="AJ22" s="58" t="e">
        <f>AI22/#REF!-1</f>
        <v>#REF!</v>
      </c>
    </row>
    <row r="23" spans="2:36" ht="12.75">
      <c r="B23" t="str">
        <f t="shared" si="0"/>
        <v>CYP</v>
      </c>
      <c r="C23" t="s">
        <v>1547</v>
      </c>
      <c r="D23" t="e">
        <v>#NAME?</v>
      </c>
      <c r="F23" t="s">
        <v>1314</v>
      </c>
      <c r="G23">
        <v>0.47425</v>
      </c>
      <c r="H23">
        <f>G23</f>
        <v>0.47425</v>
      </c>
      <c r="K23" t="s">
        <v>1272</v>
      </c>
      <c r="L23" t="str">
        <f t="shared" si="2"/>
        <v>DJF_USD_MUR_NAD_SCR_ZAR_CNY_HKD_INR_JPY_KRW_MYR_PKR_SGD_LKR_TWD_THB_EUR_CYP</v>
      </c>
      <c r="O23" s="59"/>
      <c r="P23" s="59" t="s">
        <v>200</v>
      </c>
      <c r="Q23" s="59" t="s">
        <v>1277</v>
      </c>
      <c r="R23" s="59">
        <v>0.7362</v>
      </c>
      <c r="S23" s="59">
        <v>1.3587</v>
      </c>
      <c r="T23" s="59"/>
      <c r="AI23">
        <f t="shared" si="3"/>
        <v>0.8268562923763849</v>
      </c>
      <c r="AJ23" s="58" t="e">
        <f>AI23/#REF!-1</f>
        <v>#REF!</v>
      </c>
    </row>
    <row r="24" spans="2:36" ht="12.75">
      <c r="B24" t="str">
        <f t="shared" si="0"/>
        <v>CZK</v>
      </c>
      <c r="C24" t="s">
        <v>1548</v>
      </c>
      <c r="D24" t="e">
        <v>#NAME?</v>
      </c>
      <c r="F24" t="s">
        <v>1315</v>
      </c>
      <c r="G24">
        <v>23.8113</v>
      </c>
      <c r="H24">
        <f aca="true" t="shared" si="5" ref="H24:H46">G24</f>
        <v>23.8113</v>
      </c>
      <c r="K24" t="s">
        <v>1344</v>
      </c>
      <c r="L24" t="str">
        <f t="shared" si="2"/>
        <v>DJF_USD_MUR_NAD_SCR_ZAR_CNY_HKD_INR_JPY_KRW_MYR_PKR_SGD_LKR_TWD_THB_EUR_CYP_CZK</v>
      </c>
      <c r="O24" s="59"/>
      <c r="P24" s="59" t="s">
        <v>150</v>
      </c>
      <c r="Q24" s="59" t="s">
        <v>1278</v>
      </c>
      <c r="R24" s="59">
        <v>0.009302</v>
      </c>
      <c r="S24" s="59">
        <v>108</v>
      </c>
      <c r="T24" s="59"/>
      <c r="AI24">
        <f t="shared" si="3"/>
        <v>0.47425</v>
      </c>
      <c r="AJ24" s="58" t="e">
        <f>AI24/#REF!-1</f>
        <v>#REF!</v>
      </c>
    </row>
    <row r="25" spans="2:36" ht="12.75">
      <c r="B25" t="str">
        <f t="shared" si="0"/>
        <v>DKK</v>
      </c>
      <c r="C25" t="s">
        <v>1549</v>
      </c>
      <c r="D25" t="e">
        <v>#NAME?</v>
      </c>
      <c r="F25" t="s">
        <v>1316</v>
      </c>
      <c r="G25">
        <v>6.16915</v>
      </c>
      <c r="H25">
        <f t="shared" si="5"/>
        <v>6.16915</v>
      </c>
      <c r="K25" t="s">
        <v>1345</v>
      </c>
      <c r="L25" t="str">
        <f t="shared" si="2"/>
        <v>DJF_USD_MUR_NAD_SCR_ZAR_CNY_HKD_INR_JPY_KRW_MYR_PKR_SGD_LKR_TWD_THB_EUR_CYP_CZK_DKK</v>
      </c>
      <c r="O25" s="59"/>
      <c r="P25" s="59" t="s">
        <v>201</v>
      </c>
      <c r="Q25" s="59" t="s">
        <v>1279</v>
      </c>
      <c r="R25" s="59">
        <v>0.0328</v>
      </c>
      <c r="S25" s="59">
        <v>30.4934</v>
      </c>
      <c r="T25" s="59"/>
      <c r="AI25">
        <f t="shared" si="3"/>
        <v>23.8113</v>
      </c>
      <c r="AJ25" s="58" t="e">
        <f>AI25/#REF!-1</f>
        <v>#REF!</v>
      </c>
    </row>
    <row r="26" spans="2:36" ht="12.75">
      <c r="B26" t="str">
        <f t="shared" si="0"/>
        <v>EEK</v>
      </c>
      <c r="C26" t="s">
        <v>1550</v>
      </c>
      <c r="D26" t="e">
        <v>#NAME?</v>
      </c>
      <c r="F26" t="s">
        <v>1317</v>
      </c>
      <c r="G26">
        <v>12.9379</v>
      </c>
      <c r="H26">
        <f t="shared" si="5"/>
        <v>12.9379</v>
      </c>
      <c r="K26" t="s">
        <v>1273</v>
      </c>
      <c r="L26" t="str">
        <f t="shared" si="2"/>
        <v>DJF_USD_MUR_NAD_SCR_ZAR_CNY_HKD_INR_JPY_KRW_MYR_PKR_SGD_LKR_TWD_THB_EUR_CYP_CZK_DKK_EEK</v>
      </c>
      <c r="O26" s="59"/>
      <c r="P26" s="59" t="s">
        <v>151</v>
      </c>
      <c r="Q26" s="59" t="s">
        <v>1281</v>
      </c>
      <c r="R26" s="59">
        <v>0.03184</v>
      </c>
      <c r="S26" s="59">
        <v>31.9102</v>
      </c>
      <c r="T26" s="59"/>
      <c r="AI26">
        <f t="shared" si="3"/>
        <v>6.16915</v>
      </c>
      <c r="AJ26" s="58" t="e">
        <f>AI26/#REF!-1</f>
        <v>#REF!</v>
      </c>
    </row>
    <row r="27" spans="2:36" ht="12.75">
      <c r="B27" t="str">
        <f t="shared" si="0"/>
        <v>GIP</v>
      </c>
      <c r="C27" t="s">
        <v>1551</v>
      </c>
      <c r="D27" t="e">
        <v>#NAME?</v>
      </c>
      <c r="F27" t="s">
        <v>1318</v>
      </c>
      <c r="G27">
        <v>1.76135</v>
      </c>
      <c r="H27" s="1">
        <f>1/G27</f>
        <v>0.5677463309393364</v>
      </c>
      <c r="K27" t="s">
        <v>1274</v>
      </c>
      <c r="L27" t="str">
        <f t="shared" si="2"/>
        <v>DJF_USD_MUR_NAD_SCR_ZAR_CNY_HKD_INR_JPY_KRW_MYR_PKR_SGD_LKR_TWD_THB_EUR_CYP_CZK_DKK_EEK_GIP</v>
      </c>
      <c r="O27" s="59"/>
      <c r="P27" s="59" t="s">
        <v>149</v>
      </c>
      <c r="Q27" s="59" t="s">
        <v>1308</v>
      </c>
      <c r="R27" s="59">
        <v>1.5556</v>
      </c>
      <c r="S27" s="59">
        <v>0.6429</v>
      </c>
      <c r="T27" s="59"/>
      <c r="AI27">
        <f t="shared" si="3"/>
        <v>12.9379</v>
      </c>
      <c r="AJ27" s="58" t="e">
        <f>AI27/#REF!-1</f>
        <v>#REF!</v>
      </c>
    </row>
    <row r="28" spans="2:36" ht="12.75">
      <c r="B28" t="str">
        <f t="shared" si="0"/>
        <v>HUF</v>
      </c>
      <c r="C28" t="s">
        <v>1552</v>
      </c>
      <c r="D28" t="e">
        <v>#NAME?</v>
      </c>
      <c r="F28" t="s">
        <v>1319</v>
      </c>
      <c r="G28">
        <v>208.295</v>
      </c>
      <c r="H28">
        <f t="shared" si="5"/>
        <v>208.295</v>
      </c>
      <c r="K28" t="s">
        <v>1346</v>
      </c>
      <c r="L28" t="str">
        <f t="shared" si="2"/>
        <v>DJF_USD_MUR_NAD_SCR_ZAR_CNY_HKD_INR_JPY_KRW_MYR_PKR_SGD_LKR_TWD_THB_EUR_CYP_CZK_DKK_EEK_GIP_HUF</v>
      </c>
      <c r="O28" s="59"/>
      <c r="P28" s="59" t="s">
        <v>202</v>
      </c>
      <c r="Q28" s="59" t="s">
        <v>1314</v>
      </c>
      <c r="R28" s="59">
        <v>1.5556</v>
      </c>
      <c r="S28" s="59">
        <v>0.6429</v>
      </c>
      <c r="T28" s="59"/>
      <c r="AI28">
        <f t="shared" si="3"/>
        <v>0.5677463309393364</v>
      </c>
      <c r="AJ28" s="58" t="e">
        <f>AI28/#REF!-1</f>
        <v>#REF!</v>
      </c>
    </row>
    <row r="29" spans="2:36" ht="12.75">
      <c r="B29" t="str">
        <f t="shared" si="0"/>
        <v>LVL</v>
      </c>
      <c r="C29" t="s">
        <v>1553</v>
      </c>
      <c r="D29" t="e">
        <v>#NAME?</v>
      </c>
      <c r="F29" t="s">
        <v>1320</v>
      </c>
      <c r="G29">
        <v>0.57555</v>
      </c>
      <c r="H29">
        <f t="shared" si="5"/>
        <v>0.57555</v>
      </c>
      <c r="K29" t="s">
        <v>1278</v>
      </c>
      <c r="L29" t="str">
        <f t="shared" si="2"/>
        <v>DJF_USD_MUR_NAD_SCR_ZAR_CNY_HKD_INR_JPY_KRW_MYR_PKR_SGD_LKR_TWD_THB_EUR_CYP_CZK_DKK_EEK_GIP_HUF_LVL</v>
      </c>
      <c r="O29" s="59"/>
      <c r="P29" s="59" t="s">
        <v>203</v>
      </c>
      <c r="Q29" s="59" t="s">
        <v>1315</v>
      </c>
      <c r="R29" s="59">
        <v>0.06143</v>
      </c>
      <c r="S29" s="59">
        <v>16.3353</v>
      </c>
      <c r="T29" s="59"/>
      <c r="AI29">
        <f t="shared" si="3"/>
        <v>208.295</v>
      </c>
      <c r="AJ29" s="58" t="e">
        <f>AI29/#REF!-1</f>
        <v>#REF!</v>
      </c>
    </row>
    <row r="30" spans="2:36" ht="12.75">
      <c r="B30" t="str">
        <f t="shared" si="0"/>
        <v>MTL</v>
      </c>
      <c r="C30" t="s">
        <v>1554</v>
      </c>
      <c r="D30" t="e">
        <v>#NAME?</v>
      </c>
      <c r="F30" t="s">
        <v>1321</v>
      </c>
      <c r="G30">
        <v>2.83115</v>
      </c>
      <c r="H30" s="1">
        <f>1/G30</f>
        <v>0.3532133585292196</v>
      </c>
      <c r="K30" t="s">
        <v>860</v>
      </c>
      <c r="L30" t="str">
        <f t="shared" si="2"/>
        <v>DJF_USD_MUR_NAD_SCR_ZAR_CNY_HKD_INR_JPY_KRW_MYR_PKR_SGD_LKR_TWD_THB_EUR_CYP_CZK_DKK_EEK_GIP_HUF_LVL_MTL</v>
      </c>
      <c r="O30" s="59"/>
      <c r="P30" s="59" t="s">
        <v>204</v>
      </c>
      <c r="Q30" s="59" t="s">
        <v>1316</v>
      </c>
      <c r="R30" s="59">
        <v>0.208</v>
      </c>
      <c r="S30" s="59">
        <v>4.8109</v>
      </c>
      <c r="T30" s="59"/>
      <c r="AI30">
        <f t="shared" si="3"/>
        <v>0.57555</v>
      </c>
      <c r="AJ30" s="58" t="e">
        <f>AI30/#REF!-1</f>
        <v>#REF!</v>
      </c>
    </row>
    <row r="31" spans="2:36" ht="12.75">
      <c r="B31" t="str">
        <f t="shared" si="0"/>
        <v>MAD</v>
      </c>
      <c r="C31" t="s">
        <v>1555</v>
      </c>
      <c r="D31" t="e">
        <v>#NAME?</v>
      </c>
      <c r="F31" t="s">
        <v>1322</v>
      </c>
      <c r="G31">
        <v>9.0245</v>
      </c>
      <c r="H31">
        <f t="shared" si="5"/>
        <v>9.0245</v>
      </c>
      <c r="K31" t="s">
        <v>1320</v>
      </c>
      <c r="L31" t="str">
        <f t="shared" si="2"/>
        <v>DJF_USD_MUR_NAD_SCR_ZAR_CNY_HKD_INR_JPY_KRW_MYR_PKR_SGD_LKR_TWD_THB_EUR_CYP_CZK_DKK_EEK_GIP_HUF_LVL_MTL_MAD</v>
      </c>
      <c r="O31" s="59"/>
      <c r="P31" s="59" t="s">
        <v>205</v>
      </c>
      <c r="Q31" s="59" t="s">
        <v>1317</v>
      </c>
      <c r="R31" s="59">
        <v>0.09918</v>
      </c>
      <c r="S31" s="59">
        <v>10.0868</v>
      </c>
      <c r="T31" s="59"/>
      <c r="AI31">
        <f t="shared" si="3"/>
        <v>0.3532133585292196</v>
      </c>
      <c r="AJ31" s="58" t="e">
        <f>AI31/#REF!-1</f>
        <v>#REF!</v>
      </c>
    </row>
    <row r="32" spans="2:36" ht="12.75">
      <c r="B32" t="str">
        <f t="shared" si="0"/>
        <v>NOK</v>
      </c>
      <c r="C32" t="s">
        <v>1556</v>
      </c>
      <c r="D32" t="e">
        <v>#NAME?</v>
      </c>
      <c r="F32" t="s">
        <v>1323</v>
      </c>
      <c r="G32">
        <v>6.7393</v>
      </c>
      <c r="H32">
        <f t="shared" si="5"/>
        <v>6.7393</v>
      </c>
      <c r="K32" t="s">
        <v>1322</v>
      </c>
      <c r="L32" t="str">
        <f t="shared" si="2"/>
        <v>DJF_USD_MUR_NAD_SCR_ZAR_CNY_HKD_INR_JPY_KRW_MYR_PKR_SGD_LKR_TWD_THB_EUR_CYP_CZK_DKK_EEK_GIP_HUF_LVL_MTL_MAD_NOK</v>
      </c>
      <c r="O32" s="59"/>
      <c r="P32" s="59" t="s">
        <v>206</v>
      </c>
      <c r="Q32" s="59" t="s">
        <v>1318</v>
      </c>
      <c r="R32" s="59">
        <v>1.9812</v>
      </c>
      <c r="S32" s="59">
        <v>0.5049</v>
      </c>
      <c r="T32" s="59"/>
      <c r="AI32">
        <f t="shared" si="3"/>
        <v>9.0245</v>
      </c>
      <c r="AJ32" s="58" t="e">
        <f>AI32/#REF!-1</f>
        <v>#REF!</v>
      </c>
    </row>
    <row r="33" spans="2:36" ht="12.75">
      <c r="B33" t="str">
        <f t="shared" si="0"/>
        <v>SEK</v>
      </c>
      <c r="C33" t="s">
        <v>1557</v>
      </c>
      <c r="D33" t="e">
        <v>#NAME?</v>
      </c>
      <c r="F33" t="s">
        <v>1324</v>
      </c>
      <c r="G33">
        <v>7.7011</v>
      </c>
      <c r="H33">
        <f t="shared" si="5"/>
        <v>7.7011</v>
      </c>
      <c r="K33" t="s">
        <v>1321</v>
      </c>
      <c r="L33" t="str">
        <f t="shared" si="2"/>
        <v>DJF_USD_MUR_NAD_SCR_ZAR_CNY_HKD_INR_JPY_KRW_MYR_PKR_SGD_LKR_TWD_THB_EUR_CYP_CZK_DKK_EEK_GIP_HUF_LVL_MTL_MAD_NOK_SEK</v>
      </c>
      <c r="O33" s="59"/>
      <c r="P33" s="59" t="s">
        <v>207</v>
      </c>
      <c r="Q33" s="59" t="s">
        <v>1319</v>
      </c>
      <c r="R33" s="59">
        <v>0.006155</v>
      </c>
      <c r="S33" s="59">
        <v>162.994</v>
      </c>
      <c r="T33" s="59"/>
      <c r="AI33">
        <f t="shared" si="3"/>
        <v>6.7393</v>
      </c>
      <c r="AJ33" s="58" t="e">
        <f>AI33/#REF!-1</f>
        <v>#REF!</v>
      </c>
    </row>
    <row r="34" spans="2:36" ht="12.75">
      <c r="B34" t="str">
        <f t="shared" si="0"/>
        <v>CHF</v>
      </c>
      <c r="C34" t="s">
        <v>1558</v>
      </c>
      <c r="D34" t="e">
        <v>#NAME?</v>
      </c>
      <c r="F34" t="s">
        <v>1325</v>
      </c>
      <c r="G34">
        <v>1.28185</v>
      </c>
      <c r="H34">
        <f t="shared" si="5"/>
        <v>1.28185</v>
      </c>
      <c r="K34" t="s">
        <v>1254</v>
      </c>
      <c r="L34" t="str">
        <f t="shared" si="2"/>
        <v>DJF_USD_MUR_NAD_SCR_ZAR_CNY_HKD_INR_JPY_KRW_MYR_PKR_SGD_LKR_TWD_THB_EUR_CYP_CZK_DKK_EEK_GIP_HUF_LVL_MTL_MAD_NOK_SEK_CHF</v>
      </c>
      <c r="O34" s="59"/>
      <c r="P34" s="59" t="s">
        <v>208</v>
      </c>
      <c r="Q34" s="59" t="s">
        <v>1320</v>
      </c>
      <c r="R34" s="59">
        <v>2.2266</v>
      </c>
      <c r="S34" s="59">
        <v>0.4512</v>
      </c>
      <c r="T34" s="59"/>
      <c r="AI34">
        <f t="shared" si="3"/>
        <v>7.7011</v>
      </c>
      <c r="AJ34" s="58" t="e">
        <f>AI34/#REF!-1</f>
        <v>#REF!</v>
      </c>
    </row>
    <row r="35" spans="2:36" ht="12" customHeight="1">
      <c r="B35" t="str">
        <f t="shared" si="0"/>
        <v>TND</v>
      </c>
      <c r="C35" t="s">
        <v>1559</v>
      </c>
      <c r="D35" t="e">
        <v>#NAME?</v>
      </c>
      <c r="F35" t="s">
        <v>1327</v>
      </c>
      <c r="G35">
        <v>1.3388</v>
      </c>
      <c r="H35">
        <f t="shared" si="5"/>
        <v>1.3388</v>
      </c>
      <c r="K35" t="s">
        <v>1275</v>
      </c>
      <c r="L35" t="str">
        <f t="shared" si="2"/>
        <v>DJF_USD_MUR_NAD_SCR_ZAR_CNY_HKD_INR_JPY_KRW_MYR_PKR_SGD_LKR_TWD_THB_EUR_CYP_CZK_DKK_EEK_GIP_HUF_LVL_MTL_MAD_NOK_SEK_CHF_TND</v>
      </c>
      <c r="O35" s="59"/>
      <c r="P35" s="59" t="s">
        <v>209</v>
      </c>
      <c r="Q35" s="59" t="s">
        <v>1321</v>
      </c>
      <c r="R35" s="59">
        <v>1.5556</v>
      </c>
      <c r="S35" s="59">
        <v>0.6429</v>
      </c>
      <c r="T35" s="59"/>
      <c r="AI35">
        <f t="shared" si="3"/>
        <v>1.28185</v>
      </c>
      <c r="AJ35" s="58" t="e">
        <f>AI35/#REF!-1</f>
        <v>#REF!</v>
      </c>
    </row>
    <row r="36" spans="2:36" ht="12.75">
      <c r="B36" t="str">
        <f t="shared" si="0"/>
        <v>GBP</v>
      </c>
      <c r="C36" t="s">
        <v>1560</v>
      </c>
      <c r="D36" t="e">
        <v>#NAME?</v>
      </c>
      <c r="F36" t="s">
        <v>1330</v>
      </c>
      <c r="G36">
        <v>1.76135</v>
      </c>
      <c r="H36" s="1">
        <f>1/G36</f>
        <v>0.5677463309393364</v>
      </c>
      <c r="K36" t="s">
        <v>1255</v>
      </c>
      <c r="L36" t="str">
        <f t="shared" si="2"/>
        <v>DJF_USD_MUR_NAD_SCR_ZAR_CNY_HKD_INR_JPY_KRW_MYR_PKR_SGD_LKR_TWD_THB_EUR_CYP_CZK_DKK_EEK_GIP_HUF_LVL_MTL_MAD_NOK_SEK_CHF_TND_GBP</v>
      </c>
      <c r="O36" s="59"/>
      <c r="P36" s="59" t="s">
        <v>210</v>
      </c>
      <c r="Q36" s="59" t="s">
        <v>1322</v>
      </c>
      <c r="R36" s="59">
        <v>0.1362</v>
      </c>
      <c r="S36" s="59">
        <v>7.4144</v>
      </c>
      <c r="T36" s="59"/>
      <c r="AI36">
        <f t="shared" si="3"/>
        <v>1.3388</v>
      </c>
      <c r="AJ36" s="58" t="e">
        <f>AI36/#REF!-1</f>
        <v>#REF!</v>
      </c>
    </row>
    <row r="37" spans="2:36" ht="12" customHeight="1">
      <c r="B37" t="str">
        <f t="shared" si="0"/>
        <v>BHD</v>
      </c>
      <c r="C37" t="s">
        <v>1561</v>
      </c>
      <c r="D37" t="e">
        <v>#NAME?</v>
      </c>
      <c r="F37" t="s">
        <v>1340</v>
      </c>
      <c r="G37">
        <v>0.376935</v>
      </c>
      <c r="H37">
        <f t="shared" si="5"/>
        <v>0.376935</v>
      </c>
      <c r="K37" t="s">
        <v>1323</v>
      </c>
      <c r="L37" t="str">
        <f t="shared" si="2"/>
        <v>DJF_USD_MUR_NAD_SCR_ZAR_CNY_HKD_INR_JPY_KRW_MYR_PKR_SGD_LKR_TWD_THB_EUR_CYP_CZK_DKK_EEK_GIP_HUF_LVL_MTL_MAD_NOK_SEK_CHF_TND_GBP_BHD</v>
      </c>
      <c r="O37" s="59"/>
      <c r="P37" s="59" t="s">
        <v>153</v>
      </c>
      <c r="Q37" s="59" t="s">
        <v>1323</v>
      </c>
      <c r="R37" s="59">
        <v>0.1959</v>
      </c>
      <c r="S37" s="59">
        <v>5.1077</v>
      </c>
      <c r="T37" s="59"/>
      <c r="AI37">
        <f t="shared" si="3"/>
        <v>0.5677463309393364</v>
      </c>
      <c r="AJ37" s="58" t="e">
        <f>AI37/#REF!-1</f>
        <v>#REF!</v>
      </c>
    </row>
    <row r="38" spans="2:36" ht="12.75">
      <c r="B38" t="str">
        <f t="shared" si="0"/>
        <v>EGP</v>
      </c>
      <c r="C38" t="s">
        <v>1562</v>
      </c>
      <c r="D38" t="e">
        <v>#NAME?</v>
      </c>
      <c r="F38" t="s">
        <v>1342</v>
      </c>
      <c r="G38">
        <v>5.7275</v>
      </c>
      <c r="H38">
        <f t="shared" si="5"/>
        <v>5.7275</v>
      </c>
      <c r="K38" t="s">
        <v>1354</v>
      </c>
      <c r="L38" t="str">
        <f t="shared" si="2"/>
        <v>DJF_USD_MUR_NAD_SCR_ZAR_CNY_HKD_INR_JPY_KRW_MYR_PKR_SGD_LKR_TWD_THB_EUR_CYP_CZK_DKK_EEK_GIP_HUF_LVL_MTL_MAD_NOK_SEK_CHF_TND_GBP_BHD_EGP</v>
      </c>
      <c r="O38" s="59"/>
      <c r="P38" s="59" t="s">
        <v>154</v>
      </c>
      <c r="Q38" s="59" t="s">
        <v>1324</v>
      </c>
      <c r="R38" s="59">
        <v>0.166</v>
      </c>
      <c r="S38" s="59">
        <v>6.0283</v>
      </c>
      <c r="T38" s="59"/>
      <c r="AI38">
        <f t="shared" si="3"/>
        <v>0.376935</v>
      </c>
      <c r="AJ38" s="58" t="e">
        <f>AI38/#REF!-1</f>
        <v>#REF!</v>
      </c>
    </row>
    <row r="39" spans="2:36" ht="12.75">
      <c r="B39" t="str">
        <f t="shared" si="0"/>
        <v>IRR</v>
      </c>
      <c r="C39" t="s">
        <v>1563</v>
      </c>
      <c r="D39" t="e">
        <v>#NAME?</v>
      </c>
      <c r="F39" t="s">
        <v>1344</v>
      </c>
      <c r="G39">
        <v>9107.5</v>
      </c>
      <c r="H39">
        <f t="shared" si="5"/>
        <v>9107.5</v>
      </c>
      <c r="K39" t="s">
        <v>1347</v>
      </c>
      <c r="L39" t="str">
        <f t="shared" si="2"/>
        <v>DJF_USD_MUR_NAD_SCR_ZAR_CNY_HKD_INR_JPY_KRW_MYR_PKR_SGD_LKR_TWD_THB_EUR_CYP_CZK_DKK_EEK_GIP_HUF_LVL_MTL_MAD_NOK_SEK_CHF_TND_GBP_BHD_EGP_IRR</v>
      </c>
      <c r="O39" s="59"/>
      <c r="P39" s="59" t="s">
        <v>146</v>
      </c>
      <c r="Q39" s="59" t="s">
        <v>1325</v>
      </c>
      <c r="R39" s="59">
        <v>0.9608</v>
      </c>
      <c r="S39" s="59">
        <v>1.0411</v>
      </c>
      <c r="T39" s="59"/>
      <c r="AI39">
        <f t="shared" si="3"/>
        <v>5.7275</v>
      </c>
      <c r="AJ39" s="58" t="e">
        <f>AI39/#REF!-1</f>
        <v>#REF!</v>
      </c>
    </row>
    <row r="40" spans="2:36" ht="12" customHeight="1">
      <c r="B40" t="str">
        <f t="shared" si="0"/>
        <v>JOD</v>
      </c>
      <c r="C40" t="s">
        <v>1564</v>
      </c>
      <c r="D40" t="e">
        <v>#NAME?</v>
      </c>
      <c r="F40" t="s">
        <v>1345</v>
      </c>
      <c r="G40">
        <v>0.70745</v>
      </c>
      <c r="H40">
        <f t="shared" si="5"/>
        <v>0.70745</v>
      </c>
      <c r="K40" t="s">
        <v>1276</v>
      </c>
      <c r="L40" t="str">
        <f t="shared" si="2"/>
        <v>DJF_USD_MUR_NAD_SCR_ZAR_CNY_HKD_INR_JPY_KRW_MYR_PKR_SGD_LKR_TWD_THB_EUR_CYP_CZK_DKK_EEK_GIP_HUF_LVL_MTL_MAD_NOK_SEK_CHF_TND_GBP_BHD_EGP_IRR_JOD</v>
      </c>
      <c r="O40" s="59"/>
      <c r="P40" s="59" t="s">
        <v>155</v>
      </c>
      <c r="Q40" s="59" t="s">
        <v>1327</v>
      </c>
      <c r="R40" s="59">
        <v>0.8679</v>
      </c>
      <c r="S40" s="59">
        <v>1.1822</v>
      </c>
      <c r="T40" s="59"/>
      <c r="AI40">
        <f t="shared" si="3"/>
        <v>9107.5</v>
      </c>
      <c r="AJ40" s="58" t="e">
        <f>AI40/#REF!-1</f>
        <v>#REF!</v>
      </c>
    </row>
    <row r="41" spans="2:36" ht="12.75">
      <c r="B41" t="str">
        <f t="shared" si="0"/>
        <v>KWD</v>
      </c>
      <c r="C41" t="s">
        <v>1565</v>
      </c>
      <c r="D41" t="e">
        <v>#NAME?</v>
      </c>
      <c r="F41" t="s">
        <v>1346</v>
      </c>
      <c r="G41">
        <v>0.29205</v>
      </c>
      <c r="H41">
        <f t="shared" si="5"/>
        <v>0.29205</v>
      </c>
      <c r="K41" t="s">
        <v>998</v>
      </c>
      <c r="L41" t="str">
        <f t="shared" si="2"/>
        <v>DJF_USD_MUR_NAD_SCR_ZAR_CNY_HKD_INR_JPY_KRW_MYR_PKR_SGD_LKR_TWD_THB_EUR_CYP_CZK_DKK_EEK_GIP_HUF_LVL_MTL_MAD_NOK_SEK_CHF_TND_GBP_BHD_EGP_IRR_JOD_KWD</v>
      </c>
      <c r="O41" s="59"/>
      <c r="P41" s="59" t="s">
        <v>147</v>
      </c>
      <c r="Q41" s="59" t="s">
        <v>1330</v>
      </c>
      <c r="R41" s="59">
        <v>1.9834</v>
      </c>
      <c r="S41" s="59">
        <v>0.5043</v>
      </c>
      <c r="T41" s="59"/>
      <c r="AI41">
        <f t="shared" si="3"/>
        <v>0.70745</v>
      </c>
      <c r="AJ41" s="58" t="e">
        <f>AI41/#REF!-1</f>
        <v>#REF!</v>
      </c>
    </row>
    <row r="42" spans="2:36" ht="24" customHeight="1">
      <c r="B42" t="str">
        <f t="shared" si="0"/>
        <v>OMR</v>
      </c>
      <c r="C42" t="s">
        <v>1566</v>
      </c>
      <c r="D42" t="e">
        <v>#NAME?</v>
      </c>
      <c r="F42" t="s">
        <v>1347</v>
      </c>
      <c r="G42">
        <v>0.38507</v>
      </c>
      <c r="H42">
        <f t="shared" si="5"/>
        <v>0.38507</v>
      </c>
      <c r="K42" t="s">
        <v>1348</v>
      </c>
      <c r="L42" t="str">
        <f t="shared" si="2"/>
        <v>DJF_USD_MUR_NAD_SCR_ZAR_CNY_HKD_INR_JPY_KRW_MYR_PKR_SGD_LKR_TWD_THB_EUR_CYP_CZK_DKK_EEK_GIP_HUF_LVL_MTL_MAD_NOK_SEK_CHF_TND_GBP_BHD_EGP_IRR_JOD_KWD_OMR</v>
      </c>
      <c r="O42" s="59"/>
      <c r="P42" s="59" t="s">
        <v>156</v>
      </c>
      <c r="Q42" s="59" t="s">
        <v>1340</v>
      </c>
      <c r="R42" s="59">
        <v>2.6536</v>
      </c>
      <c r="S42" s="59">
        <v>0.3771</v>
      </c>
      <c r="T42" s="59"/>
      <c r="AI42">
        <f t="shared" si="3"/>
        <v>0.29205</v>
      </c>
      <c r="AJ42" s="58" t="e">
        <f>AI42/#REF!-1</f>
        <v>#REF!</v>
      </c>
    </row>
    <row r="43" spans="2:36" ht="12" customHeight="1">
      <c r="B43" t="str">
        <f t="shared" si="0"/>
        <v>QAR</v>
      </c>
      <c r="C43" t="s">
        <v>1567</v>
      </c>
      <c r="D43" t="e">
        <v>#NAME?</v>
      </c>
      <c r="F43" t="s">
        <v>1348</v>
      </c>
      <c r="G43">
        <v>3.6407</v>
      </c>
      <c r="H43">
        <f t="shared" si="5"/>
        <v>3.6407</v>
      </c>
      <c r="K43" t="s">
        <v>1349</v>
      </c>
      <c r="L43" t="str">
        <f t="shared" si="2"/>
        <v>DJF_USD_MUR_NAD_SCR_ZAR_CNY_HKD_INR_JPY_KRW_MYR_PKR_SGD_LKR_TWD_THB_EUR_CYP_CZK_DKK_EEK_GIP_HUF_LVL_MTL_MAD_NOK_SEK_CHF_TND_GBP_BHD_EGP_IRR_JOD_KWD_OMR_QAR</v>
      </c>
      <c r="O43" s="59"/>
      <c r="P43" s="59" t="s">
        <v>144</v>
      </c>
      <c r="Q43" s="59" t="s">
        <v>1342</v>
      </c>
      <c r="R43" s="59">
        <v>0.1889</v>
      </c>
      <c r="S43" s="59">
        <v>5.4864</v>
      </c>
      <c r="T43" s="59"/>
      <c r="AI43">
        <f t="shared" si="3"/>
        <v>0.38507</v>
      </c>
      <c r="AJ43" s="58" t="e">
        <f>AI43/#REF!-1</f>
        <v>#REF!</v>
      </c>
    </row>
    <row r="44" spans="2:36" ht="12.75">
      <c r="B44" t="str">
        <f t="shared" si="0"/>
        <v>SAR</v>
      </c>
      <c r="C44" t="s">
        <v>1568</v>
      </c>
      <c r="D44" t="e">
        <v>#NAME?</v>
      </c>
      <c r="F44" t="s">
        <v>1349</v>
      </c>
      <c r="G44">
        <v>3.7502</v>
      </c>
      <c r="H44">
        <f t="shared" si="5"/>
        <v>3.7502</v>
      </c>
      <c r="K44" t="s">
        <v>1256</v>
      </c>
      <c r="L44" t="str">
        <f t="shared" si="2"/>
        <v>DJF_USD_MUR_NAD_SCR_ZAR_CNY_HKD_INR_JPY_KRW_MYR_PKR_SGD_LKR_TWD_THB_EUR_CYP_CZK_DKK_EEK_GIP_HUF_LVL_MTL_MAD_NOK_SEK_CHF_TND_GBP_BHD_EGP_IRR_JOD_KWD_OMR_QAR_SAR</v>
      </c>
      <c r="O44" s="59"/>
      <c r="P44" s="59" t="s">
        <v>157</v>
      </c>
      <c r="Q44" s="59" t="s">
        <v>1344</v>
      </c>
      <c r="R44" s="59">
        <v>0.0001111</v>
      </c>
      <c r="S44" s="59">
        <v>9322.9</v>
      </c>
      <c r="T44" s="59"/>
      <c r="AI44">
        <f t="shared" si="3"/>
        <v>3.6407</v>
      </c>
      <c r="AJ44" s="58" t="e">
        <f>AI44/#REF!-1</f>
        <v>#REF!</v>
      </c>
    </row>
    <row r="45" spans="2:36" ht="12.75" customHeight="1">
      <c r="B45" t="str">
        <f t="shared" si="0"/>
        <v>SYP</v>
      </c>
      <c r="C45" t="s">
        <v>1569</v>
      </c>
      <c r="D45" t="e">
        <v>#NAME?</v>
      </c>
      <c r="F45" t="s">
        <v>1350</v>
      </c>
      <c r="G45">
        <v>51.965</v>
      </c>
      <c r="H45">
        <f t="shared" si="5"/>
        <v>51.965</v>
      </c>
      <c r="K45" t="s">
        <v>1324</v>
      </c>
      <c r="L45" t="str">
        <f t="shared" si="2"/>
        <v>DJF_USD_MUR_NAD_SCR_ZAR_CNY_HKD_INR_JPY_KRW_MYR_PKR_SGD_LKR_TWD_THB_EUR_CYP_CZK_DKK_EEK_GIP_HUF_LVL_MTL_MAD_NOK_SEK_CHF_TND_GBP_BHD_EGP_IRR_JOD_KWD_OMR_QAR_SAR_SYP</v>
      </c>
      <c r="O45" s="59"/>
      <c r="P45" s="59" t="s">
        <v>158</v>
      </c>
      <c r="Q45" s="59" t="s">
        <v>1345</v>
      </c>
      <c r="R45" s="59">
        <v>1.4183</v>
      </c>
      <c r="S45" s="59">
        <v>0.7122</v>
      </c>
      <c r="T45" s="59"/>
      <c r="AI45">
        <f t="shared" si="3"/>
        <v>3.7502</v>
      </c>
      <c r="AJ45" s="58" t="e">
        <f>AI45/#REF!-1</f>
        <v>#REF!</v>
      </c>
    </row>
    <row r="46" spans="2:36" ht="12.75">
      <c r="B46" t="str">
        <f t="shared" si="0"/>
        <v>AED</v>
      </c>
      <c r="C46" t="s">
        <v>1570</v>
      </c>
      <c r="D46" t="e">
        <v>#NAME?</v>
      </c>
      <c r="F46" t="s">
        <v>1351</v>
      </c>
      <c r="G46">
        <v>3.67285</v>
      </c>
      <c r="H46">
        <f t="shared" si="5"/>
        <v>3.67285</v>
      </c>
      <c r="K46" t="s">
        <v>1277</v>
      </c>
      <c r="L46" t="str">
        <f t="shared" si="2"/>
        <v>DJF_USD_MUR_NAD_SCR_ZAR_CNY_HKD_INR_JPY_KRW_MYR_PKR_SGD_LKR_TWD_THB_EUR_CYP_CZK_DKK_EEK_GIP_HUF_LVL_MTL_MAD_NOK_SEK_CHF_TND_GBP_BHD_EGP_IRR_JOD_KWD_OMR_QAR_SAR_SYP_AED</v>
      </c>
      <c r="O46" s="59"/>
      <c r="P46" s="59" t="s">
        <v>159</v>
      </c>
      <c r="Q46" s="59" t="s">
        <v>1346</v>
      </c>
      <c r="R46" s="59">
        <v>3.7729</v>
      </c>
      <c r="S46" s="59">
        <v>0.2681</v>
      </c>
      <c r="T46" s="59"/>
      <c r="AI46">
        <f t="shared" si="3"/>
        <v>51.965</v>
      </c>
      <c r="AJ46" s="58" t="e">
        <f>AI46/#REF!-1</f>
        <v>#REF!</v>
      </c>
    </row>
    <row r="47" spans="2:36" ht="12.75">
      <c r="B47" t="str">
        <f t="shared" si="0"/>
        <v>AUD</v>
      </c>
      <c r="C47" t="s">
        <v>1571</v>
      </c>
      <c r="D47" t="e">
        <v>#NAME?</v>
      </c>
      <c r="F47" t="s">
        <v>1353</v>
      </c>
      <c r="G47">
        <v>0.74795</v>
      </c>
      <c r="H47" s="1">
        <f>1/G47</f>
        <v>1.3369877665619359</v>
      </c>
      <c r="K47" t="s">
        <v>1166</v>
      </c>
      <c r="L47" t="str">
        <f t="shared" si="2"/>
        <v>DJF_USD_MUR_NAD_SCR_ZAR_CNY_HKD_INR_JPY_KRW_MYR_PKR_SGD_LKR_TWD_THB_EUR_CYP_CZK_DKK_EEK_GIP_HUF_LVL_MTL_MAD_NOK_SEK_CHF_TND_GBP_BHD_EGP_IRR_JOD_KWD_OMR_QAR_SAR_SYP_AED_AUD</v>
      </c>
      <c r="O47" s="59"/>
      <c r="P47" s="59" t="s">
        <v>160</v>
      </c>
      <c r="Q47" s="59" t="s">
        <v>1347</v>
      </c>
      <c r="R47" s="59">
        <v>2.6008</v>
      </c>
      <c r="S47" s="59">
        <v>0.3856</v>
      </c>
      <c r="T47" s="59"/>
      <c r="AI47">
        <f t="shared" si="3"/>
        <v>3.67285</v>
      </c>
      <c r="AJ47" s="58" t="e">
        <f>AI47/#REF!-1</f>
        <v>#REF!</v>
      </c>
    </row>
    <row r="48" spans="2:36" ht="12.75">
      <c r="B48" t="str">
        <f t="shared" si="0"/>
        <v>NZD</v>
      </c>
      <c r="C48" t="s">
        <v>1572</v>
      </c>
      <c r="D48" t="e">
        <v>#NAME?</v>
      </c>
      <c r="F48" t="s">
        <v>1354</v>
      </c>
      <c r="G48">
        <v>0.6864</v>
      </c>
      <c r="H48" s="1">
        <f>1/G48</f>
        <v>1.456876456876457</v>
      </c>
      <c r="K48" t="s">
        <v>1350</v>
      </c>
      <c r="L48" t="str">
        <f t="shared" si="2"/>
        <v>DJF_USD_MUR_NAD_SCR_ZAR_CNY_HKD_INR_JPY_KRW_MYR_PKR_SGD_LKR_TWD_THB_EUR_CYP_CZK_DKK_EEK_GIP_HUF_LVL_MTL_MAD_NOK_SEK_CHF_TND_GBP_BHD_EGP_IRR_JOD_KWD_OMR_QAR_SAR_SYP_AED_AUD_NZD</v>
      </c>
      <c r="O48" s="59"/>
      <c r="P48" s="59" t="s">
        <v>161</v>
      </c>
      <c r="Q48" s="59" t="s">
        <v>1348</v>
      </c>
      <c r="R48" s="59">
        <v>0.2749</v>
      </c>
      <c r="S48" s="59">
        <v>3.6432</v>
      </c>
      <c r="T48" s="59"/>
      <c r="AI48">
        <f t="shared" si="3"/>
        <v>1.3369877665619359</v>
      </c>
      <c r="AJ48" s="58" t="e">
        <f>AI48/#REF!-1</f>
        <v>#REF!</v>
      </c>
    </row>
    <row r="49" spans="2:36" ht="12.75">
      <c r="B49" t="str">
        <f t="shared" si="0"/>
        <v>CAD</v>
      </c>
      <c r="C49" t="s">
        <v>1573</v>
      </c>
      <c r="D49" t="e">
        <v>#NAME?</v>
      </c>
      <c r="F49" t="s">
        <v>1356</v>
      </c>
      <c r="G49">
        <v>1.17175</v>
      </c>
      <c r="H49">
        <f>G49</f>
        <v>1.17175</v>
      </c>
      <c r="K49" t="s">
        <v>1281</v>
      </c>
      <c r="L49" t="str">
        <f t="shared" si="2"/>
        <v>DJF_USD_MUR_NAD_SCR_ZAR_CNY_HKD_INR_JPY_KRW_MYR_PKR_SGD_LKR_TWD_THB_EUR_CYP_CZK_DKK_EEK_GIP_HUF_LVL_MTL_MAD_NOK_SEK_CHF_TND_GBP_BHD_EGP_IRR_JOD_KWD_OMR_QAR_SAR_SYP_AED_AUD_NZD_CAD</v>
      </c>
      <c r="O49" s="59"/>
      <c r="P49" s="59" t="s">
        <v>162</v>
      </c>
      <c r="Q49" s="59" t="s">
        <v>1349</v>
      </c>
      <c r="R49" s="59">
        <v>0.2668</v>
      </c>
      <c r="S49" s="59">
        <v>3.7551</v>
      </c>
      <c r="T49" s="59"/>
      <c r="AI49">
        <f t="shared" si="3"/>
        <v>1.456876456876457</v>
      </c>
      <c r="AJ49" s="58" t="e">
        <f>AI49/#REF!-1</f>
        <v>#REF!</v>
      </c>
    </row>
    <row r="50" spans="2:36" ht="24" customHeight="1">
      <c r="B50" t="s">
        <v>1165</v>
      </c>
      <c r="F50" t="s">
        <v>1165</v>
      </c>
      <c r="G50">
        <v>98.54965</v>
      </c>
      <c r="H50">
        <f>G50</f>
        <v>98.54965</v>
      </c>
      <c r="K50" t="s">
        <v>1327</v>
      </c>
      <c r="L50" t="str">
        <f t="shared" si="2"/>
        <v>DJF_USD_MUR_NAD_SCR_ZAR_CNY_HKD_INR_JPY_KRW_MYR_PKR_SGD_LKR_TWD_THB_EUR_CYP_CZK_DKK_EEK_GIP_HUF_LVL_MTL_MAD_NOK_SEK_CHF_TND_GBP_BHD_EGP_IRR_JOD_KWD_OMR_QAR_SAR_SYP_AED_AUD_NZD_CAD_XPF</v>
      </c>
      <c r="O50" s="59"/>
      <c r="P50" s="59" t="s">
        <v>163</v>
      </c>
      <c r="Q50" s="59" t="s">
        <v>1350</v>
      </c>
      <c r="R50" s="59">
        <v>0.02004</v>
      </c>
      <c r="S50" s="59">
        <v>51.698</v>
      </c>
      <c r="T50" s="59"/>
      <c r="AI50">
        <f t="shared" si="3"/>
        <v>1.17175</v>
      </c>
      <c r="AJ50" s="58" t="e">
        <f>AI50/#REF!-1</f>
        <v>#REF!</v>
      </c>
    </row>
    <row r="51" spans="2:36" ht="12.75">
      <c r="B51" t="s">
        <v>1166</v>
      </c>
      <c r="F51" t="s">
        <v>1166</v>
      </c>
      <c r="G51">
        <v>31.15145</v>
      </c>
      <c r="H51">
        <f>G51</f>
        <v>31.15145</v>
      </c>
      <c r="K51" t="s">
        <v>1167</v>
      </c>
      <c r="L51" t="str">
        <f t="shared" si="2"/>
        <v>DJF_USD_MUR_NAD_SCR_ZAR_CNY_HKD_INR_JPY_KRW_MYR_PKR_SGD_LKR_TWD_THB_EUR_CYP_CZK_DKK_EEK_GIP_HUF_LVL_MTL_MAD_NOK_SEK_CHF_TND_GBP_BHD_EGP_IRR_JOD_KWD_OMR_QAR_SAR_SYP_AED_AUD_NZD_CAD_XPF_SKK</v>
      </c>
      <c r="O51" s="59"/>
      <c r="P51" s="59" t="s">
        <v>164</v>
      </c>
      <c r="Q51" s="59" t="s">
        <v>1351</v>
      </c>
      <c r="R51" s="59">
        <v>0.2724</v>
      </c>
      <c r="S51" s="59">
        <v>3.6748</v>
      </c>
      <c r="T51" s="59"/>
      <c r="AI51">
        <f t="shared" si="3"/>
        <v>98.54965</v>
      </c>
      <c r="AJ51" s="58" t="e">
        <f>AI51/#REF!-1</f>
        <v>#REF!</v>
      </c>
    </row>
    <row r="52" spans="2:36" ht="12.75">
      <c r="B52" t="s">
        <v>1167</v>
      </c>
      <c r="F52" t="s">
        <v>1167</v>
      </c>
      <c r="G52">
        <v>0.4867</v>
      </c>
      <c r="H52">
        <f>G52</f>
        <v>0.4867</v>
      </c>
      <c r="K52" t="s">
        <v>1279</v>
      </c>
      <c r="L52" t="str">
        <f t="shared" si="2"/>
        <v>DJF_USD_MUR_NAD_SCR_ZAR_CNY_HKD_INR_JPY_KRW_MYR_PKR_SGD_LKR_TWD_THB_EUR_CYP_CZK_DKK_EEK_GIP_HUF_LVL_MTL_MAD_NOK_SEK_CHF_TND_GBP_BHD_EGP_IRR_JOD_KWD_OMR_QAR_SAR_SYP_AED_AUD_NZD_CAD_XPF_SKK_TOP</v>
      </c>
      <c r="O52" s="59"/>
      <c r="P52" s="59" t="s">
        <v>165</v>
      </c>
      <c r="Q52" s="59" t="s">
        <v>1353</v>
      </c>
      <c r="R52" s="59">
        <v>0.9386</v>
      </c>
      <c r="S52" s="59">
        <v>1.0657</v>
      </c>
      <c r="T52" s="59"/>
      <c r="AI52">
        <f t="shared" si="3"/>
        <v>31.15145</v>
      </c>
      <c r="AJ52" s="58" t="e">
        <f>AI52/#REF!-1</f>
        <v>#REF!</v>
      </c>
    </row>
    <row r="53" spans="2:36" ht="12.75">
      <c r="B53" t="s">
        <v>1168</v>
      </c>
      <c r="F53" t="s">
        <v>1168</v>
      </c>
      <c r="G53">
        <v>0.36825</v>
      </c>
      <c r="H53" s="1">
        <f>1/G53</f>
        <v>2.715546503733876</v>
      </c>
      <c r="K53" t="s">
        <v>1251</v>
      </c>
      <c r="L53" t="str">
        <f t="shared" si="2"/>
        <v>DJF_USD_MUR_NAD_SCR_ZAR_CNY_HKD_INR_JPY_KRW_MYR_PKR_SGD_LKR_TWD_THB_EUR_CYP_CZK_DKK_EEK_GIP_HUF_LVL_MTL_MAD_NOK_SEK_CHF_TND_GBP_BHD_EGP_IRR_JOD_KWD_OMR_QAR_SAR_SYP_AED_AUD_NZD_CAD_XPF_SKK_TOP_WST</v>
      </c>
      <c r="O53" s="59"/>
      <c r="P53" s="59" t="s">
        <v>166</v>
      </c>
      <c r="Q53" s="59" t="s">
        <v>1354</v>
      </c>
      <c r="R53" s="59">
        <v>0.7799</v>
      </c>
      <c r="S53" s="59">
        <v>1.2828</v>
      </c>
      <c r="T53" s="59"/>
      <c r="AI53">
        <f t="shared" si="3"/>
        <v>0.4867</v>
      </c>
      <c r="AJ53" s="58" t="e">
        <f>AI53/#REF!-1</f>
        <v>#REF!</v>
      </c>
    </row>
    <row r="54" spans="2:36" ht="12.75">
      <c r="B54" t="s">
        <v>1169</v>
      </c>
      <c r="F54" t="s">
        <v>1169</v>
      </c>
      <c r="G54">
        <v>0.582</v>
      </c>
      <c r="H54" s="1">
        <f>1/G54</f>
        <v>1.718213058419244</v>
      </c>
      <c r="K54" t="s">
        <v>1168</v>
      </c>
      <c r="L54" t="str">
        <f t="shared" si="2"/>
        <v>DJF_USD_MUR_NAD_SCR_ZAR_CNY_HKD_INR_JPY_KRW_MYR_PKR_SGD_LKR_TWD_THB_EUR_CYP_CZK_DKK_EEK_GIP_HUF_LVL_MTL_MAD_NOK_SEK_CHF_TND_GBP_BHD_EGP_IRR_JOD_KWD_OMR_QAR_SAR_SYP_AED_AUD_NZD_CAD_XPF_SKK_TOP_WST_FJD</v>
      </c>
      <c r="O54" s="59"/>
      <c r="P54" s="59" t="s">
        <v>145</v>
      </c>
      <c r="Q54" s="59" t="s">
        <v>1356</v>
      </c>
      <c r="R54" s="59">
        <v>0.9886</v>
      </c>
      <c r="S54" s="59">
        <v>1.0119</v>
      </c>
      <c r="T54" s="59"/>
      <c r="AI54">
        <f t="shared" si="3"/>
        <v>2.715546503733876</v>
      </c>
      <c r="AJ54" s="58" t="e">
        <f>AI54/#REF!-1</f>
        <v>#REF!</v>
      </c>
    </row>
    <row r="55" spans="2:36" ht="12.75">
      <c r="B55" t="s">
        <v>290</v>
      </c>
      <c r="F55" t="s">
        <v>998</v>
      </c>
      <c r="G55">
        <v>3.19105</v>
      </c>
      <c r="H55">
        <f>G55</f>
        <v>3.19105</v>
      </c>
      <c r="K55" t="s">
        <v>1165</v>
      </c>
      <c r="L55" t="str">
        <f t="shared" si="2"/>
        <v>DJF_USD_MUR_NAD_SCR_ZAR_CNY_HKD_INR_JPY_KRW_MYR_PKR_SGD_LKR_TWD_THB_EUR_CYP_CZK_DKK_EEK_GIP_HUF_LVL_MTL_MAD_NOK_SEK_CHF_TND_GBP_BHD_EGP_IRR_JOD_KWD_OMR_QAR_SAR_SYP_AED_AUD_NZD_CAD_XPF_SKK_TOP_WST_FJD_PLN</v>
      </c>
      <c r="O55" s="59"/>
      <c r="P55" s="59" t="s">
        <v>167</v>
      </c>
      <c r="Q55" s="59" t="s">
        <v>1165</v>
      </c>
      <c r="R55" s="59">
        <v>0.01338</v>
      </c>
      <c r="S55" s="59">
        <v>77.811</v>
      </c>
      <c r="T55" s="59"/>
      <c r="AI55">
        <f t="shared" si="3"/>
        <v>1.718213058419244</v>
      </c>
      <c r="AJ55" s="58" t="e">
        <f>AI55/#REF!-1</f>
        <v>#REF!</v>
      </c>
    </row>
    <row r="56" spans="2:36" ht="12.75">
      <c r="B56" t="s">
        <v>291</v>
      </c>
      <c r="F56" t="s">
        <v>860</v>
      </c>
      <c r="G56">
        <v>2.8577</v>
      </c>
      <c r="H56">
        <f>G56</f>
        <v>2.8577</v>
      </c>
      <c r="K56" t="s">
        <v>1257</v>
      </c>
      <c r="L56" t="str">
        <f t="shared" si="2"/>
        <v>DJF_USD_MUR_NAD_SCR_ZAR_CNY_HKD_INR_JPY_KRW_MYR_PKR_SGD_LKR_TWD_THB_EUR_CYP_CZK_DKK_EEK_GIP_HUF_LVL_MTL_MAD_NOK_SEK_CHF_TND_GBP_BHD_EGP_IRR_JOD_KWD_OMR_QAR_SAR_SYP_AED_AUD_NZD_CAD_XPF_SKK_TOP_WST_FJD_PLN_LTL</v>
      </c>
      <c r="O56" s="59"/>
      <c r="P56" s="59" t="s">
        <v>171</v>
      </c>
      <c r="Q56" s="59" t="s">
        <v>1166</v>
      </c>
      <c r="R56" s="59">
        <v>0.04823</v>
      </c>
      <c r="S56" s="59">
        <v>20.807</v>
      </c>
      <c r="T56" s="59"/>
      <c r="AI56">
        <f t="shared" si="3"/>
        <v>3.19105</v>
      </c>
      <c r="AJ56" s="58" t="e">
        <f>AI56/V60-1</f>
        <v>#DIV/0!</v>
      </c>
    </row>
    <row r="57" spans="2:36" ht="12.75">
      <c r="B57" t="s">
        <v>292</v>
      </c>
      <c r="F57" t="s">
        <v>290</v>
      </c>
      <c r="G57">
        <v>1.7757</v>
      </c>
      <c r="H57" s="1">
        <f>1/G57</f>
        <v>0.56315819113589</v>
      </c>
      <c r="L57" t="str">
        <f t="shared" si="2"/>
        <v>DJF_USD_MUR_NAD_SCR_ZAR_CNY_HKD_INR_JPY_KRW_MYR_PKR_SGD_LKR_TWD_THB_EUR_CYP_CZK_DKK_EEK_GIP_HUF_LVL_MTL_MAD_NOK_SEK_CHF_TND_GBP_BHD_EGP_IRR_JOD_KWD_OMR_QAR_SAR_SYP_AED_AUD_NZD_CAD_XPF_SKK_TOP_WST_FJD_PLN_LTL_FKP</v>
      </c>
      <c r="O57" s="59"/>
      <c r="P57" s="59" t="s">
        <v>172</v>
      </c>
      <c r="Q57" s="59" t="s">
        <v>1167</v>
      </c>
      <c r="R57" s="59">
        <v>0.49</v>
      </c>
      <c r="S57" s="59">
        <v>2.0747</v>
      </c>
      <c r="T57" s="59"/>
      <c r="AI57">
        <f t="shared" si="3"/>
        <v>2.8577</v>
      </c>
      <c r="AJ57" s="58" t="e">
        <f>AI57/#REF!-1</f>
        <v>#REF!</v>
      </c>
    </row>
    <row r="58" spans="6:36" ht="12.75">
      <c r="F58" t="s">
        <v>291</v>
      </c>
      <c r="G58">
        <v>1.89</v>
      </c>
      <c r="H58">
        <f>G58</f>
        <v>1.89</v>
      </c>
      <c r="L58" t="str">
        <f>L57&amp;"_"&amp;F58</f>
        <v>DJF_USD_MUR_NAD_SCR_ZAR_CNY_HKD_INR_JPY_KRW_MYR_PKR_SGD_LKR_TWD_THB_EUR_CYP_CZK_DKK_EEK_GIP_HUF_LVL_MTL_MAD_NOK_SEK_CHF_TND_GBP_BHD_EGP_IRR_JOD_KWD_OMR_QAR_SAR_SYP_AED_AUD_NZD_CAD_XPF_SKK_TOP_WST_FJD_PLN_LTL_FKP_JOB</v>
      </c>
      <c r="O58" s="59"/>
      <c r="P58" s="59" t="s">
        <v>173</v>
      </c>
      <c r="Q58" s="59" t="s">
        <v>1168</v>
      </c>
      <c r="R58" s="59">
        <v>0.4095</v>
      </c>
      <c r="S58" s="59">
        <v>2.5478</v>
      </c>
      <c r="T58" s="59"/>
      <c r="AI58">
        <f t="shared" si="3"/>
        <v>0.56315819113589</v>
      </c>
      <c r="AJ58" s="58" t="e">
        <f>AI58/#REF!-1</f>
        <v>#REF!</v>
      </c>
    </row>
    <row r="59" spans="15:36" ht="12.75">
      <c r="O59" s="59"/>
      <c r="P59" s="59" t="s">
        <v>174</v>
      </c>
      <c r="Q59" s="59" t="s">
        <v>1169</v>
      </c>
      <c r="R59" s="59">
        <v>0.6746</v>
      </c>
      <c r="S59" s="59">
        <v>1.4934</v>
      </c>
      <c r="T59" s="59"/>
      <c r="AI59">
        <f t="shared" si="3"/>
        <v>1.89</v>
      </c>
      <c r="AJ59" s="58" t="e">
        <f>AI59/#REF!-1</f>
        <v>#REF!</v>
      </c>
    </row>
    <row r="60" spans="12:20" ht="12.75">
      <c r="L60" t="s">
        <v>152</v>
      </c>
      <c r="P60" t="s">
        <v>175</v>
      </c>
      <c r="Q60" t="s">
        <v>998</v>
      </c>
      <c r="R60">
        <v>0.4491</v>
      </c>
      <c r="S60" s="59">
        <v>2.2322</v>
      </c>
      <c r="T60" s="59"/>
    </row>
    <row r="61" spans="16:20" ht="12.75">
      <c r="P61" t="s">
        <v>176</v>
      </c>
      <c r="Q61" t="s">
        <v>860</v>
      </c>
      <c r="R61">
        <v>0.4494</v>
      </c>
      <c r="S61" s="59">
        <v>2.2261</v>
      </c>
      <c r="T61" s="59"/>
    </row>
    <row r="62" spans="16:20" ht="12.75">
      <c r="P62" t="s">
        <v>177</v>
      </c>
      <c r="Q62" t="s">
        <v>290</v>
      </c>
      <c r="R62">
        <v>1.9812</v>
      </c>
      <c r="S62" s="59">
        <v>0.5049</v>
      </c>
      <c r="T62" s="59"/>
    </row>
    <row r="63" spans="17:20" ht="12.75">
      <c r="Q63" t="s">
        <v>291</v>
      </c>
      <c r="R63">
        <v>0</v>
      </c>
      <c r="S63" s="59">
        <v>0</v>
      </c>
      <c r="T63" s="59"/>
    </row>
    <row r="64" spans="16:20" ht="12.75">
      <c r="P64" t="s">
        <v>487</v>
      </c>
      <c r="Q64" t="s">
        <v>488</v>
      </c>
      <c r="R64">
        <v>0.0001062</v>
      </c>
      <c r="S64" s="59">
        <v>9433.96</v>
      </c>
      <c r="T64" s="59"/>
    </row>
    <row r="65" spans="16:20" ht="12.75">
      <c r="P65" t="s">
        <v>489</v>
      </c>
      <c r="Q65" t="s">
        <v>490</v>
      </c>
      <c r="R65">
        <v>0.3207</v>
      </c>
      <c r="S65" s="59">
        <v>3.2218</v>
      </c>
      <c r="T65" s="59"/>
    </row>
    <row r="66" spans="16:20" ht="12.75">
      <c r="P66" t="s">
        <v>491</v>
      </c>
      <c r="Q66" t="s">
        <v>492</v>
      </c>
      <c r="R66">
        <v>0.04216</v>
      </c>
      <c r="S66" s="59">
        <v>23.728</v>
      </c>
      <c r="T66" s="59"/>
    </row>
    <row r="67" spans="19:20" ht="12.75">
      <c r="S67" s="59"/>
      <c r="T67" s="59"/>
    </row>
    <row r="68" spans="19:20" ht="12.75">
      <c r="S68" s="59"/>
      <c r="T68" s="59"/>
    </row>
    <row r="69" spans="16:20" ht="12.75">
      <c r="P69" t="s">
        <v>650</v>
      </c>
      <c r="S69" s="59"/>
      <c r="T69" s="59"/>
    </row>
    <row r="70" spans="16:20" ht="12.75">
      <c r="P70" t="s">
        <v>651</v>
      </c>
      <c r="S70" s="59"/>
      <c r="T70" s="59"/>
    </row>
    <row r="71" spans="19:20" ht="12.75">
      <c r="S71" s="59"/>
      <c r="T71" s="59"/>
    </row>
    <row r="72" spans="19:20" ht="12.75">
      <c r="S72" s="59"/>
      <c r="T72" s="59"/>
    </row>
    <row r="73" spans="15:21" ht="12.75">
      <c r="O73" s="59"/>
      <c r="P73" s="59" t="s">
        <v>756</v>
      </c>
      <c r="Q73" s="59"/>
      <c r="R73" s="59"/>
      <c r="S73" s="59"/>
      <c r="T73" s="59"/>
      <c r="U73" s="59"/>
    </row>
    <row r="74" spans="15:20" ht="12.75">
      <c r="O74" s="59"/>
      <c r="P74" s="59"/>
      <c r="Q74" s="59"/>
      <c r="R74" s="59"/>
      <c r="S74" s="59"/>
      <c r="T74" s="59"/>
    </row>
    <row r="75" spans="15:20" ht="12.75">
      <c r="O75" s="59"/>
      <c r="P75" s="59" t="s">
        <v>757</v>
      </c>
      <c r="Q75" s="59"/>
      <c r="R75" s="59"/>
      <c r="S75" s="59"/>
      <c r="T75" s="59"/>
    </row>
    <row r="76" spans="15:20" ht="12.75">
      <c r="O76" s="59"/>
      <c r="P76" s="59"/>
      <c r="Q76" s="59"/>
      <c r="R76" s="59"/>
      <c r="S76" s="59"/>
      <c r="T76" s="59"/>
    </row>
    <row r="77" spans="15:20" ht="12.75">
      <c r="O77" s="59"/>
      <c r="P77" s="59"/>
      <c r="Q77" s="59"/>
      <c r="R77" s="59"/>
      <c r="S77" s="59"/>
      <c r="T77" s="59"/>
    </row>
    <row r="78" spans="15:20" ht="12.75">
      <c r="O78" s="59"/>
      <c r="P78" s="59" t="s">
        <v>652</v>
      </c>
      <c r="Q78" s="59"/>
      <c r="R78" s="59"/>
      <c r="S78" s="59"/>
      <c r="T78" s="59"/>
    </row>
    <row r="79" spans="15:20" ht="12.75">
      <c r="O79" s="59"/>
      <c r="P79" s="59"/>
      <c r="Q79" s="59"/>
      <c r="R79" s="59"/>
      <c r="S79" s="59"/>
      <c r="T79" s="59"/>
    </row>
    <row r="80" spans="19:20" ht="12" customHeight="1">
      <c r="S80" s="59"/>
      <c r="T80" s="59"/>
    </row>
    <row r="82" ht="12" customHeight="1"/>
    <row r="85" ht="12" customHeight="1"/>
    <row r="87" ht="24" customHeight="1"/>
    <row r="88" ht="12" customHeight="1"/>
    <row r="90" ht="12.75" customHeight="1"/>
    <row r="92" ht="24" customHeight="1"/>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indexed="10"/>
  </sheetPr>
  <dimension ref="A1:C75"/>
  <sheetViews>
    <sheetView tabSelected="1" workbookViewId="0" topLeftCell="A56">
      <selection activeCell="B76" sqref="B76"/>
    </sheetView>
  </sheetViews>
  <sheetFormatPr defaultColWidth="9.140625" defaultRowHeight="12.75"/>
  <cols>
    <col min="1" max="1" width="9.421875" style="0" bestFit="1" customWidth="1"/>
    <col min="2" max="2" width="58.140625" style="0" customWidth="1"/>
    <col min="3" max="16384" width="8.8515625" style="0" customWidth="1"/>
  </cols>
  <sheetData>
    <row r="1" ht="12.75">
      <c r="A1" t="s">
        <v>169</v>
      </c>
    </row>
    <row r="2" ht="12.75">
      <c r="A2" s="45">
        <v>39567</v>
      </c>
    </row>
    <row r="3" ht="12.75">
      <c r="B3" s="51" t="s">
        <v>993</v>
      </c>
    </row>
    <row r="5" ht="63.75">
      <c r="B5" s="43" t="s">
        <v>981</v>
      </c>
    </row>
    <row r="6" ht="12.75">
      <c r="B6" s="43"/>
    </row>
    <row r="7" spans="2:3" ht="12.75">
      <c r="B7" s="31" t="s">
        <v>1250</v>
      </c>
      <c r="C7" s="57"/>
    </row>
    <row r="9" ht="89.25">
      <c r="B9" s="43" t="s">
        <v>980</v>
      </c>
    </row>
    <row r="11" ht="12.75">
      <c r="B11" s="31" t="s">
        <v>982</v>
      </c>
    </row>
    <row r="13" ht="89.25">
      <c r="B13" s="43" t="s">
        <v>990</v>
      </c>
    </row>
    <row r="15" ht="12.75">
      <c r="B15" s="44" t="s">
        <v>992</v>
      </c>
    </row>
    <row r="16" ht="12.75">
      <c r="B16" s="44" t="s">
        <v>983</v>
      </c>
    </row>
    <row r="17" ht="12.75">
      <c r="B17" s="44" t="s">
        <v>1762</v>
      </c>
    </row>
    <row r="18" ht="12.75">
      <c r="B18" s="44" t="s">
        <v>1470</v>
      </c>
    </row>
    <row r="19" ht="12.75">
      <c r="B19" s="44" t="s">
        <v>995</v>
      </c>
    </row>
    <row r="20" ht="12.75">
      <c r="B20" s="44" t="s">
        <v>593</v>
      </c>
    </row>
    <row r="21" ht="12.75">
      <c r="B21" s="44" t="s">
        <v>541</v>
      </c>
    </row>
    <row r="22" ht="12.75">
      <c r="B22" s="44" t="s">
        <v>321</v>
      </c>
    </row>
    <row r="23" ht="12.75">
      <c r="B23" s="44" t="s">
        <v>320</v>
      </c>
    </row>
    <row r="24" ht="12.75">
      <c r="B24" s="44" t="s">
        <v>319</v>
      </c>
    </row>
    <row r="25" ht="12.75">
      <c r="B25" s="44" t="s">
        <v>323</v>
      </c>
    </row>
    <row r="26" ht="12.75">
      <c r="B26" s="44" t="s">
        <v>984</v>
      </c>
    </row>
    <row r="27" ht="12.75">
      <c r="B27" s="44"/>
    </row>
    <row r="28" ht="12.75">
      <c r="B28" s="44" t="s">
        <v>322</v>
      </c>
    </row>
    <row r="29" ht="12.75">
      <c r="B29" s="44" t="s">
        <v>991</v>
      </c>
    </row>
    <row r="31" ht="12.75">
      <c r="B31" s="31" t="s">
        <v>985</v>
      </c>
    </row>
    <row r="33" ht="63.75">
      <c r="B33" s="43" t="s">
        <v>1761</v>
      </c>
    </row>
    <row r="35" ht="12.75">
      <c r="B35" s="31" t="s">
        <v>986</v>
      </c>
    </row>
    <row r="36" ht="12.75">
      <c r="B36" s="31"/>
    </row>
    <row r="37" ht="25.5">
      <c r="B37" s="43" t="s">
        <v>989</v>
      </c>
    </row>
    <row r="39" ht="12.75">
      <c r="B39" s="31" t="s">
        <v>996</v>
      </c>
    </row>
    <row r="40" ht="38.25">
      <c r="B40" s="43" t="s">
        <v>997</v>
      </c>
    </row>
    <row r="41" ht="38.25">
      <c r="B41" s="43" t="s">
        <v>1000</v>
      </c>
    </row>
    <row r="42" ht="12.75">
      <c r="B42" s="43" t="s">
        <v>1001</v>
      </c>
    </row>
    <row r="43" ht="25.5">
      <c r="B43" s="43" t="s">
        <v>1002</v>
      </c>
    </row>
    <row r="44" ht="25.5">
      <c r="B44" s="43" t="s">
        <v>863</v>
      </c>
    </row>
    <row r="45" ht="12.75">
      <c r="B45" s="43" t="s">
        <v>864</v>
      </c>
    </row>
    <row r="46" ht="12.75">
      <c r="B46" s="43" t="s">
        <v>584</v>
      </c>
    </row>
    <row r="47" ht="25.5">
      <c r="B47" s="43" t="s">
        <v>594</v>
      </c>
    </row>
    <row r="48" ht="38.25">
      <c r="B48" s="43" t="s">
        <v>1527</v>
      </c>
    </row>
    <row r="49" ht="30" customHeight="1">
      <c r="B49" s="43" t="s">
        <v>595</v>
      </c>
    </row>
    <row r="50" ht="25.5">
      <c r="B50" s="43" t="s">
        <v>596</v>
      </c>
    </row>
    <row r="51" ht="25.5">
      <c r="B51" s="43" t="s">
        <v>540</v>
      </c>
    </row>
    <row r="52" ht="12.75">
      <c r="B52" s="43" t="s">
        <v>298</v>
      </c>
    </row>
    <row r="53" ht="12.75">
      <c r="B53" s="43" t="s">
        <v>299</v>
      </c>
    </row>
    <row r="54" ht="25.5">
      <c r="B54" s="43" t="s">
        <v>300</v>
      </c>
    </row>
    <row r="55" ht="25.5">
      <c r="B55" s="43" t="s">
        <v>324</v>
      </c>
    </row>
    <row r="56" ht="12.75">
      <c r="B56" s="43" t="s">
        <v>325</v>
      </c>
    </row>
    <row r="57" ht="12.75">
      <c r="B57" s="43" t="s">
        <v>345</v>
      </c>
    </row>
    <row r="58" ht="12.75">
      <c r="B58" s="43" t="s">
        <v>231</v>
      </c>
    </row>
    <row r="59" ht="12.75">
      <c r="B59" s="43" t="s">
        <v>232</v>
      </c>
    </row>
    <row r="60" ht="25.5">
      <c r="B60" s="43" t="s">
        <v>283</v>
      </c>
    </row>
    <row r="61" ht="25.5">
      <c r="B61" s="43" t="s">
        <v>284</v>
      </c>
    </row>
    <row r="62" ht="38.25">
      <c r="B62" s="43" t="s">
        <v>1</v>
      </c>
    </row>
    <row r="63" ht="12.75">
      <c r="B63" s="43" t="s">
        <v>181</v>
      </c>
    </row>
    <row r="64" ht="12.75">
      <c r="B64" s="43" t="s">
        <v>0</v>
      </c>
    </row>
    <row r="65" ht="12.75">
      <c r="B65" s="43" t="s">
        <v>187</v>
      </c>
    </row>
    <row r="66" ht="12.75">
      <c r="B66" s="43" t="s">
        <v>178</v>
      </c>
    </row>
    <row r="67" ht="38.25">
      <c r="B67" s="43" t="s">
        <v>1748</v>
      </c>
    </row>
    <row r="68" ht="25.5">
      <c r="B68" s="43" t="s">
        <v>1471</v>
      </c>
    </row>
    <row r="69" ht="25.5">
      <c r="B69" s="43" t="s">
        <v>1150</v>
      </c>
    </row>
    <row r="70" ht="12.75">
      <c r="B70" s="43" t="s">
        <v>988</v>
      </c>
    </row>
    <row r="71" ht="12.75">
      <c r="B71" s="43" t="s">
        <v>905</v>
      </c>
    </row>
    <row r="72" ht="12.75">
      <c r="B72" s="43" t="s">
        <v>758</v>
      </c>
    </row>
    <row r="73" ht="12.75">
      <c r="B73" s="43" t="s">
        <v>703</v>
      </c>
    </row>
    <row r="74" ht="12.75">
      <c r="B74" s="43" t="s">
        <v>494</v>
      </c>
    </row>
    <row r="75" ht="12.75">
      <c r="B75" s="43" t="s">
        <v>170</v>
      </c>
    </row>
  </sheetData>
  <hyperlinks>
    <hyperlink ref="B15" r:id="rId1" display="spotwelder's oneworld pricing in GBP"/>
    <hyperlink ref="B16" r:id="rId2" display="oneworld star files (with rules and fares)"/>
    <hyperlink ref="B26" r:id="rId3" display="SkyTeam fares"/>
    <hyperlink ref="B29" r:id="rId4" display="and of course FlyerTalk itself!"/>
    <hyperlink ref="B19" r:id="rId5" display="Qantas RTW Fare Web Site"/>
    <hyperlink ref="B20" r:id="rId6" display="OW prices increases"/>
    <hyperlink ref="B21" r:id="rId7" display="oneworld RTW itinerary validator"/>
    <hyperlink ref="B24" r:id="rId8" display="Al B's Star Alliance RTW Price Chart 2005"/>
    <hyperlink ref="B23" r:id="rId9" display="Patron's Star Alliance RTW Price Chart 2004"/>
    <hyperlink ref="B22" r:id="rId10" display="CathayTalk oneworld forum"/>
    <hyperlink ref="B28" r:id="rId11" display="And CathayTalk..."/>
    <hyperlink ref="B25" r:id="rId12" display="Updated 2005 Star Alliance RTW rules"/>
    <hyperlink ref="B17" r:id="rId13" display="kanebear's star file and fare update thread"/>
    <hyperlink ref="B18" r:id="rId14" display="kanebear's April 2006 star file and fare update"/>
  </hyperlinks>
  <printOptions/>
  <pageMargins left="0.75" right="0.75" top="1" bottom="1" header="0.5" footer="0.5"/>
  <pageSetup orientation="portrait" paperSize="9"/>
  <drawing r:id="rId15"/>
</worksheet>
</file>

<file path=xl/worksheets/sheet4.xml><?xml version="1.0" encoding="utf-8"?>
<worksheet xmlns="http://schemas.openxmlformats.org/spreadsheetml/2006/main" xmlns:r="http://schemas.openxmlformats.org/officeDocument/2006/relationships">
  <sheetPr codeName="Sheet4"/>
  <dimension ref="A1:AY107"/>
  <sheetViews>
    <sheetView workbookViewId="0" topLeftCell="A1">
      <selection activeCell="E15" sqref="E15"/>
    </sheetView>
  </sheetViews>
  <sheetFormatPr defaultColWidth="9.140625" defaultRowHeight="12.75" zeroHeight="1"/>
  <cols>
    <col min="1" max="1" width="9.28125" style="0" bestFit="1" customWidth="1"/>
    <col min="2" max="2" width="22.140625" style="0" bestFit="1" customWidth="1"/>
    <col min="3" max="3" width="10.28125" style="0" customWidth="1"/>
    <col min="4" max="7" width="8.8515625" style="0" customWidth="1"/>
    <col min="8" max="16384" width="9.140625" style="0" hidden="1" customWidth="1"/>
  </cols>
  <sheetData>
    <row r="1" spans="1:7" ht="27" customHeight="1">
      <c r="A1" s="26"/>
      <c r="B1" s="30" t="s">
        <v>1217</v>
      </c>
      <c r="C1" s="25"/>
      <c r="D1" s="29"/>
      <c r="E1" s="29"/>
      <c r="F1" s="26"/>
      <c r="G1" s="26"/>
    </row>
    <row r="2" spans="1:47" ht="12.75">
      <c r="A2" s="26"/>
      <c r="B2" s="24" t="s">
        <v>1370</v>
      </c>
      <c r="C2" s="50" t="s">
        <v>1251</v>
      </c>
      <c r="D2" s="26"/>
      <c r="E2" s="46" t="str">
        <f>"exchange rates updated "&amp;TEXT(fxDate,"dd-mmm-yyyy")</f>
        <v>exchange rates updated 02-May-2008</v>
      </c>
      <c r="F2" s="26"/>
      <c r="G2" s="26"/>
      <c r="AR2" t="s">
        <v>1251</v>
      </c>
      <c r="AS2" t="s">
        <v>1374</v>
      </c>
      <c r="AT2" t="s">
        <v>1367</v>
      </c>
      <c r="AU2" t="str">
        <f>VLOOKUP(class,AS2:AT4,2,FALSE)&amp;continents</f>
        <v>A4</v>
      </c>
    </row>
    <row r="3" spans="1:47" ht="12.75">
      <c r="A3" s="26"/>
      <c r="B3" s="24" t="s">
        <v>1372</v>
      </c>
      <c r="C3" s="50" t="s">
        <v>1374</v>
      </c>
      <c r="D3" s="26"/>
      <c r="F3" s="26"/>
      <c r="G3" s="26"/>
      <c r="AR3" t="s">
        <v>1308</v>
      </c>
      <c r="AS3" t="s">
        <v>1375</v>
      </c>
      <c r="AT3" t="s">
        <v>1368</v>
      </c>
      <c r="AU3" t="str">
        <f>VLOOKUP(class,AS2:AT7,2,FALSE)</f>
        <v>A</v>
      </c>
    </row>
    <row r="4" spans="1:46" ht="12.75">
      <c r="A4" s="26"/>
      <c r="B4" s="24" t="s">
        <v>1373</v>
      </c>
      <c r="C4" s="50">
        <v>4</v>
      </c>
      <c r="D4" s="26"/>
      <c r="E4" s="26"/>
      <c r="F4" s="26"/>
      <c r="G4" s="26"/>
      <c r="AR4" t="s">
        <v>1330</v>
      </c>
      <c r="AS4" t="s">
        <v>1376</v>
      </c>
      <c r="AT4" t="s">
        <v>1369</v>
      </c>
    </row>
    <row r="5" spans="1:7" ht="12.75">
      <c r="A5" s="26"/>
      <c r="B5" s="24" t="s">
        <v>1377</v>
      </c>
      <c r="C5" s="50" t="s">
        <v>1402</v>
      </c>
      <c r="D5" s="5">
        <f>VLOOKUP(VLOOKUP(C5,B11:AP100,41,FALSE),OWData!AI4:AO94,2,FALSE)</f>
        <v>11786.711820434226</v>
      </c>
      <c r="E5" s="6" t="str">
        <f>dfx</f>
        <v>USD</v>
      </c>
      <c r="F5" s="26"/>
      <c r="G5" s="26"/>
    </row>
    <row r="6" spans="1:44" ht="12.75">
      <c r="A6" s="26"/>
      <c r="B6" s="26"/>
      <c r="C6" s="26"/>
      <c r="D6" s="26"/>
      <c r="E6" s="26"/>
      <c r="F6" s="26"/>
      <c r="G6" s="26"/>
      <c r="AR6" t="s">
        <v>1351</v>
      </c>
    </row>
    <row r="7" spans="1:44" ht="12.75">
      <c r="A7" s="26"/>
      <c r="B7" s="24" t="s">
        <v>1032</v>
      </c>
      <c r="C7" s="5">
        <f>MAX(OWData!AJ4:AJ94)-MIN(OWData!AJ4:AJ94)</f>
        <v>12049.752873257268</v>
      </c>
      <c r="D7" s="23">
        <f>MAX(OWData!AJ4:AJ94)/MIN(OWData!AJ4:AJ94)-1</f>
        <v>1.9129301239375969</v>
      </c>
      <c r="E7" s="26"/>
      <c r="F7" s="26"/>
      <c r="G7" s="26"/>
      <c r="AR7" t="s">
        <v>1353</v>
      </c>
    </row>
    <row r="8" spans="1:47" ht="12.75">
      <c r="A8" s="26"/>
      <c r="B8" s="24" t="str">
        <f>"Difference to "&amp;C5</f>
        <v>Difference to Sri Lanka</v>
      </c>
      <c r="C8" s="5">
        <f>VLOOKUP(VLOOKUP(C5,B11:AP100,41,FALSE),OWData!AI4:AO94,2,FALSE)-MIN(OWData!AJ4:AJ94)</f>
        <v>5487.604120434226</v>
      </c>
      <c r="D8" s="23">
        <f>VLOOKUP(VLOOKUP(C5,B11:AP100,41,FALSE),OWData!AI4:AO94,2,FALSE)/MIN(OWData!AJ4:AJ94)-1</f>
        <v>0.8711716614139215</v>
      </c>
      <c r="E8" s="26"/>
      <c r="F8" s="26"/>
      <c r="G8" s="26"/>
      <c r="AR8" t="s">
        <v>1340</v>
      </c>
      <c r="AU8" t="s">
        <v>285</v>
      </c>
    </row>
    <row r="9" spans="1:51" ht="12.75">
      <c r="A9" s="46"/>
      <c r="B9" s="26"/>
      <c r="C9" s="27"/>
      <c r="D9" s="28"/>
      <c r="E9" s="26"/>
      <c r="F9" s="26"/>
      <c r="G9" s="26"/>
      <c r="AR9" t="s">
        <v>1356</v>
      </c>
      <c r="AU9" t="s">
        <v>1405</v>
      </c>
      <c r="AX9">
        <v>22</v>
      </c>
      <c r="AY9">
        <v>8</v>
      </c>
    </row>
    <row r="10" spans="1:47" ht="12.75">
      <c r="A10" s="26"/>
      <c r="B10" s="21"/>
      <c r="C10" s="15" t="str">
        <f>class</f>
        <v>First</v>
      </c>
      <c r="D10" s="16"/>
      <c r="E10" s="16"/>
      <c r="F10" s="17"/>
      <c r="G10" s="26"/>
      <c r="AR10" t="s">
        <v>1325</v>
      </c>
      <c r="AU10" t="s">
        <v>296</v>
      </c>
    </row>
    <row r="11" spans="1:47" ht="12.75">
      <c r="A11" s="26"/>
      <c r="B11" s="22"/>
      <c r="C11" s="18">
        <v>3</v>
      </c>
      <c r="D11" s="19">
        <v>4</v>
      </c>
      <c r="E11" s="19">
        <v>5</v>
      </c>
      <c r="F11" s="20">
        <v>6</v>
      </c>
      <c r="G11" s="26"/>
      <c r="AR11" t="s">
        <v>1269</v>
      </c>
      <c r="AS11">
        <v>3</v>
      </c>
      <c r="AU11" t="s">
        <v>295</v>
      </c>
    </row>
    <row r="12" spans="1:50" ht="12.75" hidden="1">
      <c r="A12" s="55"/>
      <c r="B12" s="13" t="e">
        <f>VLOOKUP($AO12,OWData!$AI$4:$AL$94,3,FALSE)</f>
        <v>#N/A</v>
      </c>
      <c r="C12" s="7">
        <f>VLOOKUP($AP12,OWData!$AI$4:$AO$94,4,FALSE)</f>
      </c>
      <c r="D12" s="8">
        <f>VLOOKUP($AP12,OWData!$AI$4:$AO$94,5,FALSE)</f>
        <v>6299.077</v>
      </c>
      <c r="E12" s="8">
        <f>VLOOKUP($AP12,OWData!$AI$4:$AO$94,6,FALSE)</f>
        <v>7199.077</v>
      </c>
      <c r="F12" s="9">
        <f>VLOOKUP($AP12,OWData!$AI$4:$AO$94,7,FALSE)</f>
        <v>8199.077</v>
      </c>
      <c r="G12" s="26"/>
      <c r="AO12">
        <v>90</v>
      </c>
      <c r="AP12">
        <f>IF(ISNUMBER(VLOOKUP($AO12,OWData!$AI$4:$AL$94,2,FALSE)),AO12,AP13)</f>
        <v>88</v>
      </c>
      <c r="AR12" t="s">
        <v>1314</v>
      </c>
      <c r="AS12">
        <v>4</v>
      </c>
      <c r="AU12" t="s">
        <v>1406</v>
      </c>
      <c r="AX12" s="54" t="e">
        <f aca="true" t="shared" si="0" ref="AX12:AX39">B12&amp;REPT(" ",$AX$9-LEN(B12))&amp;TEXT(C12,"0,0")&amp;REPT(" ",$AY$9-LEN(TEXT(C12,"0,0")))&amp;TEXT(D12,"0,0")&amp;REPT(" ",$AY$9-LEN(TEXT(D12,"0,0")))&amp;TEXT(E12,"0,0")&amp;REPT(" ",$AY$9-LEN(TEXT(E12,"0,0")))&amp;TEXT(F12,"0,0")</f>
        <v>#N/A</v>
      </c>
    </row>
    <row r="13" spans="1:50" ht="12.75" hidden="1">
      <c r="A13" s="55"/>
      <c r="B13" s="13" t="e">
        <f>VLOOKUP($AO13,OWData!$AI$4:$AL$94,3,FALSE)</f>
        <v>#N/A</v>
      </c>
      <c r="C13" s="7">
        <f>VLOOKUP($AP13,OWData!$AI$4:$AO$94,4,FALSE)</f>
      </c>
      <c r="D13" s="8">
        <f>VLOOKUP($AP13,OWData!$AI$4:$AO$94,5,FALSE)</f>
        <v>6299.077</v>
      </c>
      <c r="E13" s="8">
        <f>VLOOKUP($AP13,OWData!$AI$4:$AO$94,6,FALSE)</f>
        <v>7199.077</v>
      </c>
      <c r="F13" s="9">
        <f>VLOOKUP($AP13,OWData!$AI$4:$AO$94,7,FALSE)</f>
        <v>8199.077</v>
      </c>
      <c r="G13" s="26"/>
      <c r="AO13">
        <f>AO12-1</f>
        <v>89</v>
      </c>
      <c r="AP13">
        <f>IF(ISNUMBER(VLOOKUP($AO13,OWData!$AI$4:$AL$94,2,FALSE)),AO13,AP14)</f>
        <v>88</v>
      </c>
      <c r="AR13" t="s">
        <v>1315</v>
      </c>
      <c r="AS13">
        <v>5</v>
      </c>
      <c r="AU13" t="s">
        <v>1407</v>
      </c>
      <c r="AX13" s="54" t="e">
        <f t="shared" si="0"/>
        <v>#N/A</v>
      </c>
    </row>
    <row r="14" spans="1:50" ht="12.75">
      <c r="A14" s="64">
        <f>VLOOKUP(B14,OWData!$B$4:$Q$91,16,FALSE)</f>
        <v>38902</v>
      </c>
      <c r="B14" s="13" t="str">
        <f>VLOOKUP($AO14,OWData!$AI$4:$AL$94,3,FALSE)</f>
        <v>Malawi</v>
      </c>
      <c r="C14" s="7">
        <f>VLOOKUP($AP14,OWData!$AI$4:$AO$94,4,FALSE)</f>
      </c>
      <c r="D14" s="8">
        <f>VLOOKUP($AP14,OWData!$AI$4:$AO$94,5,FALSE)</f>
        <v>6299.077</v>
      </c>
      <c r="E14" s="8">
        <f>VLOOKUP($AP14,OWData!$AI$4:$AO$94,6,FALSE)</f>
        <v>7199.077</v>
      </c>
      <c r="F14" s="9">
        <f>VLOOKUP($AP14,OWData!$AI$4:$AO$94,7,FALSE)</f>
        <v>8199.077</v>
      </c>
      <c r="G14" s="26"/>
      <c r="AO14">
        <f aca="true" t="shared" si="1" ref="AO14:AO77">AO13-1</f>
        <v>88</v>
      </c>
      <c r="AP14">
        <f>IF(ISNUMBER(VLOOKUP($AO14,OWData!$AI$4:$AL$94,2,FALSE)),AO14,AP15)</f>
        <v>88</v>
      </c>
      <c r="AR14" t="s">
        <v>1583</v>
      </c>
      <c r="AS14">
        <v>6</v>
      </c>
      <c r="AU14" t="s">
        <v>1016</v>
      </c>
      <c r="AX14" s="54" t="str">
        <f t="shared" si="0"/>
        <v>Malawi                        6,299   7,199   8,199</v>
      </c>
    </row>
    <row r="15" spans="1:50" ht="12.75">
      <c r="A15" s="64">
        <f>VLOOKUP(B15,OWData!$B$4:$Q$91,16,FALSE)</f>
        <v>39563</v>
      </c>
      <c r="B15" s="13" t="str">
        <f>VLOOKUP($AO15,OWData!$AI$4:$AL$94,3,FALSE)</f>
        <v>South Africa</v>
      </c>
      <c r="C15" s="7">
        <f>VLOOKUP($AP15,OWData!$AI$4:$AO$94,4,FALSE)</f>
      </c>
      <c r="D15" s="8">
        <f>VLOOKUP($AP15,OWData!$AI$4:$AO$94,5,FALSE)</f>
        <v>6851.600507676493</v>
      </c>
      <c r="E15" s="8">
        <f>VLOOKUP($AP15,OWData!$AI$4:$AO$94,6,FALSE)</f>
        <v>8697.912496184816</v>
      </c>
      <c r="F15" s="9">
        <f>VLOOKUP($AP15,OWData!$AI$4:$AO$94,7,FALSE)</f>
        <v>10121.193686469604</v>
      </c>
      <c r="G15" s="26"/>
      <c r="AO15">
        <f t="shared" si="1"/>
        <v>87</v>
      </c>
      <c r="AP15">
        <f>IF(ISNUMBER(VLOOKUP($AO15,OWData!$AI$4:$AL$94,2,FALSE)),AO15,AP16)</f>
        <v>87</v>
      </c>
      <c r="AR15" t="s">
        <v>1316</v>
      </c>
      <c r="AU15" t="s">
        <v>1391</v>
      </c>
      <c r="AX15" s="54" t="str">
        <f t="shared" si="0"/>
        <v>South Africa                  6,852   8,698   10,121</v>
      </c>
    </row>
    <row r="16" spans="1:50" ht="12.75">
      <c r="A16" s="64">
        <f>VLOOKUP(B16,OWData!$B$4:$Q$91,16,FALSE)</f>
        <v>39563</v>
      </c>
      <c r="B16" s="13" t="str">
        <f>VLOOKUP($AO16,OWData!$AI$4:$AL$94,3,FALSE)</f>
        <v>Mauritius</v>
      </c>
      <c r="C16" s="7">
        <f>VLOOKUP($AP16,OWData!$AI$4:$AO$94,4,FALSE)</f>
      </c>
      <c r="D16" s="8">
        <f>VLOOKUP($AP16,OWData!$AI$4:$AO$94,5,FALSE)</f>
        <v>6926.623219270228</v>
      </c>
      <c r="E16" s="8">
        <f>VLOOKUP($AP16,OWData!$AI$4:$AO$94,6,FALSE)</f>
        <v>7920.910047157189</v>
      </c>
      <c r="F16" s="9">
        <f>VLOOKUP($AP16,OWData!$AI$4:$AO$94,7,FALSE)</f>
        <v>9026.098098154618</v>
      </c>
      <c r="G16" s="26"/>
      <c r="AO16">
        <f t="shared" si="1"/>
        <v>86</v>
      </c>
      <c r="AP16">
        <f>IF(ISNUMBER(VLOOKUP($AO16,OWData!$AI$4:$AL$94,2,FALSE)),AO16,AP17)</f>
        <v>86</v>
      </c>
      <c r="AR16" t="s">
        <v>1317</v>
      </c>
      <c r="AU16" t="s">
        <v>1408</v>
      </c>
      <c r="AX16" s="54" t="str">
        <f t="shared" si="0"/>
        <v>Mauritius                     6,927   7,921   9,026</v>
      </c>
    </row>
    <row r="17" spans="1:50" ht="12.75">
      <c r="A17" s="64">
        <f>VLOOKUP(B17,OWData!$B$4:$Q$91,16,FALSE)</f>
        <v>39563</v>
      </c>
      <c r="B17" s="13" t="str">
        <f>VLOOKUP($AO17,OWData!$AI$4:$AL$94,3,FALSE)</f>
        <v>Namibia</v>
      </c>
      <c r="C17" s="7">
        <f>VLOOKUP($AP17,OWData!$AI$4:$AO$94,4,FALSE)</f>
      </c>
      <c r="D17" s="8">
        <f>VLOOKUP($AP17,OWData!$AI$4:$AO$94,5,FALSE)</f>
        <v>7481.291760047546</v>
      </c>
      <c r="E17" s="8">
        <f>VLOOKUP($AP17,OWData!$AI$4:$AO$94,6,FALSE)</f>
        <v>8200.172188879538</v>
      </c>
      <c r="F17" s="9">
        <f>VLOOKUP($AP17,OWData!$AI$4:$AO$94,7,FALSE)</f>
        <v>8798.591572880225</v>
      </c>
      <c r="G17" s="26"/>
      <c r="AO17">
        <f t="shared" si="1"/>
        <v>85</v>
      </c>
      <c r="AP17">
        <f>IF(ISNUMBER(VLOOKUP($AO17,OWData!$AI$4:$AL$94,2,FALSE)),AO17,AP18)</f>
        <v>85</v>
      </c>
      <c r="AR17" t="s">
        <v>1342</v>
      </c>
      <c r="AU17" t="s">
        <v>1409</v>
      </c>
      <c r="AX17" s="54" t="str">
        <f t="shared" si="0"/>
        <v>Namibia                       7,481   8,200   8,799</v>
      </c>
    </row>
    <row r="18" spans="1:50" ht="12.75">
      <c r="A18" s="64">
        <f>VLOOKUP(B18,OWData!$B$4:$Q$91,16,FALSE)</f>
        <v>39123</v>
      </c>
      <c r="B18" s="13" t="str">
        <f>VLOOKUP($AO18,OWData!$AI$4:$AL$94,3,FALSE)</f>
        <v>Iran</v>
      </c>
      <c r="C18" s="7">
        <f>VLOOKUP($AP18,OWData!$AI$4:$AO$94,4,FALSE)</f>
        <v>7293.082685827372</v>
      </c>
      <c r="D18" s="8">
        <f>VLOOKUP($AP18,OWData!$AI$4:$AO$94,5,FALSE)</f>
        <v>8794.76134804621</v>
      </c>
      <c r="E18" s="8">
        <f>VLOOKUP($AP18,OWData!$AI$4:$AO$94,6,FALSE)</f>
        <v>10081.914487090928</v>
      </c>
      <c r="F18" s="9">
        <f>VLOOKUP($AP18,OWData!$AI$4:$AO$94,7,FALSE)</f>
        <v>11905.381434070945</v>
      </c>
      <c r="G18" s="26"/>
      <c r="AO18">
        <f t="shared" si="1"/>
        <v>84</v>
      </c>
      <c r="AP18">
        <f>IF(ISNUMBER(VLOOKUP($AO18,OWData!$AI$4:$AL$94,2,FALSE)),AO18,AP19)</f>
        <v>84</v>
      </c>
      <c r="AR18" t="s">
        <v>1308</v>
      </c>
      <c r="AU18" t="s">
        <v>1030</v>
      </c>
      <c r="AX18" s="54" t="str">
        <f t="shared" si="0"/>
        <v>Iran                  7,293   8,795   10,082  11,905</v>
      </c>
    </row>
    <row r="19" spans="1:50" ht="12.75">
      <c r="A19" s="64">
        <f>VLOOKUP(B19,OWData!$B$4:$Q$91,16,FALSE)</f>
        <v>39563</v>
      </c>
      <c r="B19" s="13" t="str">
        <f>VLOOKUP($AO19,OWData!$AI$4:$AL$94,3,FALSE)</f>
        <v>Armenia</v>
      </c>
      <c r="C19" s="7">
        <f>VLOOKUP($AP19,OWData!$AI$4:$AO$94,4,FALSE)</f>
        <v>7849.065</v>
      </c>
      <c r="D19" s="8">
        <f>VLOOKUP($AP19,OWData!$AI$4:$AO$94,5,FALSE)</f>
        <v>8899.065</v>
      </c>
      <c r="E19" s="8">
        <f>VLOOKUP($AP19,OWData!$AI$4:$AO$94,6,FALSE)</f>
        <v>10499.065</v>
      </c>
      <c r="F19" s="9">
        <f>VLOOKUP($AP19,OWData!$AI$4:$AO$94,7,FALSE)</f>
        <v>11549.065</v>
      </c>
      <c r="G19" s="26"/>
      <c r="AO19">
        <f t="shared" si="1"/>
        <v>83</v>
      </c>
      <c r="AP19">
        <f>IF(ISNUMBER(VLOOKUP($AO19,OWData!$AI$4:$AL$94,2,FALSE)),AO19,AP20)</f>
        <v>83</v>
      </c>
      <c r="AR19" t="s">
        <v>1169</v>
      </c>
      <c r="AU19" t="s">
        <v>1392</v>
      </c>
      <c r="AX19" s="54" t="str">
        <f t="shared" si="0"/>
        <v>Armenia               7,849   8,899   10,499  11,549</v>
      </c>
    </row>
    <row r="20" spans="1:50" ht="12.75">
      <c r="A20" s="64">
        <f>VLOOKUP(B20,OWData!$B$4:$Q$91,16,FALSE)</f>
        <v>39123</v>
      </c>
      <c r="B20" s="13" t="str">
        <f>VLOOKUP($AO20,OWData!$AI$4:$AL$94,3,FALSE)</f>
        <v>Syrian Arab Republic</v>
      </c>
      <c r="C20" s="7">
        <f>VLOOKUP($AP20,OWData!$AI$4:$AO$94,4,FALSE)</f>
        <v>7776.012436341831</v>
      </c>
      <c r="D20" s="8">
        <f>VLOOKUP($AP20,OWData!$AI$4:$AO$94,5,FALSE)</f>
        <v>8943.852584896902</v>
      </c>
      <c r="E20" s="8">
        <f>VLOOKUP($AP20,OWData!$AI$4:$AO$94,6,FALSE)</f>
        <v>10498.554894464003</v>
      </c>
      <c r="F20" s="9">
        <f>VLOOKUP($AP20,OWData!$AI$4:$AO$94,7,FALSE)</f>
        <v>12575.037543696082</v>
      </c>
      <c r="G20" s="26"/>
      <c r="AO20">
        <f t="shared" si="1"/>
        <v>82</v>
      </c>
      <c r="AP20">
        <f>IF(ISNUMBER(VLOOKUP($AO20,OWData!$AI$4:$AL$94,2,FALSE)),AO20,AP21)</f>
        <v>82</v>
      </c>
      <c r="AR20" t="s">
        <v>290</v>
      </c>
      <c r="AU20" t="s">
        <v>1410</v>
      </c>
      <c r="AX20" s="54" t="str">
        <f t="shared" si="0"/>
        <v>Syrian Arab Republic  7,776   8,944   10,499  12,575</v>
      </c>
    </row>
    <row r="21" spans="1:50" ht="12.75">
      <c r="A21" s="64">
        <f>VLOOKUP(B21,OWData!$B$4:$Q$91,16,FALSE)</f>
        <v>39123</v>
      </c>
      <c r="B21" s="13" t="str">
        <f>VLOOKUP($AO21,OWData!$AI$4:$AL$94,3,FALSE)</f>
        <v>Georgia</v>
      </c>
      <c r="C21" s="7">
        <f>VLOOKUP($AP21,OWData!$AI$4:$AO$94,4,FALSE)</f>
        <v>7900.071</v>
      </c>
      <c r="D21" s="8">
        <f>VLOOKUP($AP21,OWData!$AI$4:$AO$94,5,FALSE)</f>
        <v>8950.071</v>
      </c>
      <c r="E21" s="8">
        <f>VLOOKUP($AP21,OWData!$AI$4:$AO$94,6,FALSE)</f>
        <v>10600.071</v>
      </c>
      <c r="F21" s="9">
        <f>VLOOKUP($AP21,OWData!$AI$4:$AO$94,7,FALSE)</f>
        <v>11600.071</v>
      </c>
      <c r="G21" s="26"/>
      <c r="AO21">
        <f t="shared" si="1"/>
        <v>81</v>
      </c>
      <c r="AP21">
        <f>IF(ISNUMBER(VLOOKUP($AO21,OWData!$AI$4:$AL$94,2,FALSE)),AO21,AP22)</f>
        <v>81</v>
      </c>
      <c r="AR21" t="s">
        <v>1330</v>
      </c>
      <c r="AU21" t="s">
        <v>1411</v>
      </c>
      <c r="AX21" s="54" t="str">
        <f t="shared" si="0"/>
        <v>Georgia               7,900   8,950   10,600  11,600</v>
      </c>
    </row>
    <row r="22" spans="1:50" ht="12.75">
      <c r="A22" s="64">
        <f>VLOOKUP(B22,OWData!$B$4:$Q$91,16,FALSE)</f>
        <v>39123</v>
      </c>
      <c r="B22" s="13" t="str">
        <f>VLOOKUP($AO22,OWData!$AI$4:$AL$94,3,FALSE)</f>
        <v>Saudi Arabia</v>
      </c>
      <c r="C22" s="7">
        <f>VLOOKUP($AP22,OWData!$AI$4:$AO$94,4,FALSE)</f>
        <v>7935.956878192324</v>
      </c>
      <c r="D22" s="8">
        <f>VLOOKUP($AP22,OWData!$AI$4:$AO$94,5,FALSE)</f>
        <v>9081.06619618652</v>
      </c>
      <c r="E22" s="8">
        <f>VLOOKUP($AP22,OWData!$AI$4:$AO$94,6,FALSE)</f>
        <v>10226.175514180715</v>
      </c>
      <c r="F22" s="9">
        <f>VLOOKUP($AP22,OWData!$AI$4:$AO$94,7,FALSE)</f>
        <v>11397.915281430587</v>
      </c>
      <c r="G22" s="26"/>
      <c r="AO22">
        <f t="shared" si="1"/>
        <v>80</v>
      </c>
      <c r="AP22">
        <f>IF(ISNUMBER(VLOOKUP($AO22,OWData!$AI$4:$AL$94,2,FALSE)),AO22,AP23)</f>
        <v>80</v>
      </c>
      <c r="AR22" t="s">
        <v>1318</v>
      </c>
      <c r="AU22" t="s">
        <v>1412</v>
      </c>
      <c r="AX22" s="54" t="str">
        <f t="shared" si="0"/>
        <v>Saudi Arabia          7,936   9,081   10,226  11,398</v>
      </c>
    </row>
    <row r="23" spans="1:50" ht="12.75">
      <c r="A23" s="64">
        <f>VLOOKUP(B23,OWData!$B$4:$Q$91,16,FALSE)</f>
        <v>39563</v>
      </c>
      <c r="B23" s="13" t="str">
        <f>VLOOKUP($AO23,OWData!$AI$4:$AL$94,3,FALSE)</f>
        <v>Indonesia</v>
      </c>
      <c r="C23" s="7">
        <f>VLOOKUP($AP23,OWData!$AI$4:$AO$94,4,FALSE)</f>
        <v>8117.272860000001</v>
      </c>
      <c r="D23" s="8">
        <f>VLOOKUP($AP23,OWData!$AI$4:$AO$94,5,FALSE)</f>
        <v>9277.7183</v>
      </c>
      <c r="E23" s="8">
        <f>VLOOKUP($AP23,OWData!$AI$4:$AO$94,6,FALSE)</f>
        <v>10564.9042</v>
      </c>
      <c r="F23" s="9">
        <f>VLOOKUP($AP23,OWData!$AI$4:$AO$94,7,FALSE)</f>
        <v>11830.303720000002</v>
      </c>
      <c r="G23" s="26"/>
      <c r="AO23">
        <f t="shared" si="1"/>
        <v>79</v>
      </c>
      <c r="AP23">
        <f>IF(ISNUMBER(VLOOKUP($AO23,OWData!$AI$4:$AL$94,2,FALSE)),AO23,AP24)</f>
        <v>79</v>
      </c>
      <c r="AR23" t="s">
        <v>1270</v>
      </c>
      <c r="AU23" t="s">
        <v>1413</v>
      </c>
      <c r="AX23" s="54" t="str">
        <f t="shared" si="0"/>
        <v>Indonesia             8,117   9,278   10,565  11,830</v>
      </c>
    </row>
    <row r="24" spans="1:50" ht="12.75">
      <c r="A24" s="64">
        <f>VLOOKUP(B24,OWData!$B$4:$Q$91,16,FALSE)</f>
        <v>39563</v>
      </c>
      <c r="B24" s="13" t="str">
        <f>VLOOKUP($AO24,OWData!$AI$4:$AL$94,3,FALSE)</f>
        <v>Ukraine</v>
      </c>
      <c r="C24" s="7">
        <f>VLOOKUP($AP24,OWData!$AI$4:$AO$94,4,FALSE)</f>
        <v>8650.085</v>
      </c>
      <c r="D24" s="8">
        <f>VLOOKUP($AP24,OWData!$AI$4:$AO$94,5,FALSE)</f>
        <v>9300.085</v>
      </c>
      <c r="E24" s="8">
        <f>VLOOKUP($AP24,OWData!$AI$4:$AO$94,6,FALSE)</f>
        <v>10900.085</v>
      </c>
      <c r="F24" s="9">
        <f>VLOOKUP($AP24,OWData!$AI$4:$AO$94,7,FALSE)</f>
        <v>11900.085</v>
      </c>
      <c r="G24" s="26"/>
      <c r="AO24">
        <f t="shared" si="1"/>
        <v>78</v>
      </c>
      <c r="AP24">
        <f>IF(ISNUMBER(VLOOKUP($AO24,OWData!$AI$4:$AL$94,2,FALSE)),AO24,AP25)</f>
        <v>78</v>
      </c>
      <c r="AR24" t="s">
        <v>1319</v>
      </c>
      <c r="AU24" t="s">
        <v>1378</v>
      </c>
      <c r="AX24" s="54" t="str">
        <f t="shared" si="0"/>
        <v>Ukraine               8,650   9,300   10,900  11,900</v>
      </c>
    </row>
    <row r="25" spans="1:50" ht="12.75">
      <c r="A25" s="64">
        <f>VLOOKUP(B25,OWData!$B$4:$Q$91,16,FALSE)</f>
        <v>39123</v>
      </c>
      <c r="B25" s="13" t="str">
        <f>VLOOKUP($AO25,OWData!$AI$4:$AL$94,3,FALSE)</f>
        <v>Azerbaijan</v>
      </c>
      <c r="C25" s="7">
        <f>VLOOKUP($AP25,OWData!$AI$4:$AO$94,4,FALSE)</f>
        <v>8100.065</v>
      </c>
      <c r="D25" s="8">
        <f>VLOOKUP($AP25,OWData!$AI$4:$AO$94,5,FALSE)</f>
        <v>9310.065</v>
      </c>
      <c r="E25" s="8">
        <f>VLOOKUP($AP25,OWData!$AI$4:$AO$94,6,FALSE)</f>
        <v>10499.065</v>
      </c>
      <c r="F25" s="9">
        <f>VLOOKUP($AP25,OWData!$AI$4:$AO$94,7,FALSE)</f>
        <v>11700.065</v>
      </c>
      <c r="G25" s="26"/>
      <c r="AO25">
        <f t="shared" si="1"/>
        <v>77</v>
      </c>
      <c r="AP25">
        <f>IF(ISNUMBER(VLOOKUP($AO25,OWData!$AI$4:$AL$94,2,FALSE)),AO25,AP26)</f>
        <v>77</v>
      </c>
      <c r="AR25" t="s">
        <v>1272</v>
      </c>
      <c r="AU25" t="s">
        <v>1017</v>
      </c>
      <c r="AX25" s="54" t="str">
        <f t="shared" si="0"/>
        <v>Azerbaijan            8,100   9,310   10,499  11,700</v>
      </c>
    </row>
    <row r="26" spans="1:50" ht="12.75">
      <c r="A26" s="64">
        <f>VLOOKUP(B26,OWData!$B$4:$Q$91,16,FALSE)</f>
        <v>39123</v>
      </c>
      <c r="B26" s="13" t="str">
        <f>VLOOKUP($AO26,OWData!$AI$4:$AL$94,3,FALSE)</f>
        <v>Angola</v>
      </c>
      <c r="C26" s="7">
        <f>VLOOKUP($AP26,OWData!$AI$4:$AO$94,4,FALSE)</f>
      </c>
      <c r="D26" s="8">
        <f>VLOOKUP($AP26,OWData!$AI$4:$AO$94,5,FALSE)</f>
        <v>9400.065</v>
      </c>
      <c r="E26" s="8">
        <f>VLOOKUP($AP26,OWData!$AI$4:$AO$94,6,FALSE)</f>
        <v>10100.065</v>
      </c>
      <c r="F26" s="9">
        <f>VLOOKUP($AP26,OWData!$AI$4:$AO$94,7,FALSE)</f>
        <v>11300.065</v>
      </c>
      <c r="G26" s="26"/>
      <c r="AO26">
        <f t="shared" si="1"/>
        <v>76</v>
      </c>
      <c r="AP26">
        <f>IF(ISNUMBER(VLOOKUP($AO26,OWData!$AI$4:$AL$94,2,FALSE)),AO26,AP27)</f>
        <v>76</v>
      </c>
      <c r="AR26" t="s">
        <v>1344</v>
      </c>
      <c r="AU26" t="s">
        <v>1379</v>
      </c>
      <c r="AX26" s="54" t="str">
        <f t="shared" si="0"/>
        <v>Angola                        9,400   10,100  11,300</v>
      </c>
    </row>
    <row r="27" spans="1:50" ht="12.75">
      <c r="A27" s="64">
        <f>VLOOKUP(B27,OWData!$B$4:$Q$91,16,FALSE)</f>
        <v>39123</v>
      </c>
      <c r="B27" s="13" t="str">
        <f>VLOOKUP($AO27,OWData!$AI$4:$AL$94,3,FALSE)</f>
        <v>Ethiopia</v>
      </c>
      <c r="C27" s="7">
        <f>VLOOKUP($AP27,OWData!$AI$4:$AO$94,4,FALSE)</f>
      </c>
      <c r="D27" s="8">
        <f>VLOOKUP($AP27,OWData!$AI$4:$AO$94,5,FALSE)</f>
        <v>9400.069</v>
      </c>
      <c r="E27" s="8">
        <f>VLOOKUP($AP27,OWData!$AI$4:$AO$94,6,FALSE)</f>
        <v>10100.069</v>
      </c>
      <c r="F27" s="9">
        <f>VLOOKUP($AP27,OWData!$AI$4:$AO$94,7,FALSE)</f>
        <v>11300.069</v>
      </c>
      <c r="G27" s="26"/>
      <c r="AO27">
        <f t="shared" si="1"/>
        <v>75</v>
      </c>
      <c r="AP27">
        <f>IF(ISNUMBER(VLOOKUP($AO27,OWData!$AI$4:$AL$94,2,FALSE)),AO27,AP28)</f>
        <v>75</v>
      </c>
      <c r="AR27" t="s">
        <v>291</v>
      </c>
      <c r="AU27" t="s">
        <v>1414</v>
      </c>
      <c r="AX27" s="54" t="str">
        <f t="shared" si="0"/>
        <v>Ethiopia                      9,400   10,100  11,300</v>
      </c>
    </row>
    <row r="28" spans="1:50" ht="12.75">
      <c r="A28" s="64">
        <f>VLOOKUP(B28,OWData!$B$4:$Q$91,16,FALSE)</f>
        <v>39123</v>
      </c>
      <c r="B28" s="13" t="str">
        <f>VLOOKUP($AO28,OWData!$AI$4:$AL$94,3,FALSE)</f>
        <v>Ghana</v>
      </c>
      <c r="C28" s="7">
        <f>VLOOKUP($AP28,OWData!$AI$4:$AO$94,4,FALSE)</f>
      </c>
      <c r="D28" s="8">
        <f>VLOOKUP($AP28,OWData!$AI$4:$AO$94,5,FALSE)</f>
        <v>9400.071</v>
      </c>
      <c r="E28" s="8">
        <f>VLOOKUP($AP28,OWData!$AI$4:$AO$94,6,FALSE)</f>
        <v>10100.071</v>
      </c>
      <c r="F28" s="9">
        <f>VLOOKUP($AP28,OWData!$AI$4:$AO$94,7,FALSE)</f>
        <v>11300.071</v>
      </c>
      <c r="G28" s="26"/>
      <c r="AO28">
        <f t="shared" si="1"/>
        <v>74</v>
      </c>
      <c r="AP28">
        <f>IF(ISNUMBER(VLOOKUP($AO28,OWData!$AI$4:$AL$94,2,FALSE)),AO28,AP29)</f>
        <v>74</v>
      </c>
      <c r="AR28" t="s">
        <v>1345</v>
      </c>
      <c r="AU28" t="s">
        <v>286</v>
      </c>
      <c r="AX28" s="54" t="str">
        <f t="shared" si="0"/>
        <v>Ghana                         9,400   10,100  11,300</v>
      </c>
    </row>
    <row r="29" spans="1:50" ht="12.75">
      <c r="A29" s="64">
        <f>VLOOKUP(B29,OWData!$B$4:$Q$91,16,FALSE)</f>
        <v>39563</v>
      </c>
      <c r="B29" s="13" t="str">
        <f>VLOOKUP($AO29,OWData!$AI$4:$AL$94,3,FALSE)</f>
        <v>Kenya</v>
      </c>
      <c r="C29" s="7">
        <f>VLOOKUP($AP29,OWData!$AI$4:$AO$94,4,FALSE)</f>
      </c>
      <c r="D29" s="8">
        <f>VLOOKUP($AP29,OWData!$AI$4:$AO$94,5,FALSE)</f>
        <v>9400.075</v>
      </c>
      <c r="E29" s="8">
        <f>VLOOKUP($AP29,OWData!$AI$4:$AO$94,6,FALSE)</f>
        <v>10100.075</v>
      </c>
      <c r="F29" s="9">
        <f>VLOOKUP($AP29,OWData!$AI$4:$AO$94,7,FALSE)</f>
        <v>11300.075</v>
      </c>
      <c r="G29" s="26"/>
      <c r="AO29">
        <f t="shared" si="1"/>
        <v>73</v>
      </c>
      <c r="AP29">
        <f>IF(ISNUMBER(VLOOKUP($AO29,OWData!$AI$4:$AL$94,2,FALSE)),AO29,AP30)</f>
        <v>73</v>
      </c>
      <c r="AR29" t="s">
        <v>1273</v>
      </c>
      <c r="AU29" t="s">
        <v>287</v>
      </c>
      <c r="AX29" s="54" t="str">
        <f t="shared" si="0"/>
        <v>Kenya                         9,400   10,100  11,300</v>
      </c>
    </row>
    <row r="30" spans="1:50" ht="12.75">
      <c r="A30" s="64">
        <f>VLOOKUP(B30,OWData!$B$4:$Q$91,16,FALSE)</f>
        <v>39123</v>
      </c>
      <c r="B30" s="13" t="str">
        <f>VLOOKUP($AO30,OWData!$AI$4:$AL$94,3,FALSE)</f>
        <v>Nigeria</v>
      </c>
      <c r="C30" s="7">
        <f>VLOOKUP($AP30,OWData!$AI$4:$AO$94,4,FALSE)</f>
      </c>
      <c r="D30" s="8">
        <f>VLOOKUP($AP30,OWData!$AI$4:$AO$94,5,FALSE)</f>
        <v>9400.078</v>
      </c>
      <c r="E30" s="8">
        <f>VLOOKUP($AP30,OWData!$AI$4:$AO$94,6,FALSE)</f>
        <v>10100.078</v>
      </c>
      <c r="F30" s="9">
        <f>VLOOKUP($AP30,OWData!$AI$4:$AO$94,7,FALSE)</f>
        <v>11300.078</v>
      </c>
      <c r="G30" s="26"/>
      <c r="AO30">
        <f t="shared" si="1"/>
        <v>72</v>
      </c>
      <c r="AP30">
        <f>IF(ISNUMBER(VLOOKUP($AO30,OWData!$AI$4:$AL$94,2,FALSE)),AO30,AP31)</f>
        <v>72</v>
      </c>
      <c r="AR30" t="s">
        <v>1274</v>
      </c>
      <c r="AU30" t="s">
        <v>1415</v>
      </c>
      <c r="AX30" s="54" t="str">
        <f t="shared" si="0"/>
        <v>Nigeria                       9,400   10,100  11,300</v>
      </c>
    </row>
    <row r="31" spans="1:50" ht="12.75">
      <c r="A31" s="64">
        <f>VLOOKUP(B31,OWData!$B$4:$Q$91,16,FALSE)</f>
        <v>39123</v>
      </c>
      <c r="B31" s="13" t="str">
        <f>VLOOKUP($AO31,OWData!$AI$4:$AL$94,3,FALSE)</f>
        <v>Tanzania</v>
      </c>
      <c r="C31" s="7">
        <f>VLOOKUP($AP31,OWData!$AI$4:$AO$94,4,FALSE)</f>
      </c>
      <c r="D31" s="8">
        <f>VLOOKUP($AP31,OWData!$AI$4:$AO$94,5,FALSE)</f>
        <v>9400.084</v>
      </c>
      <c r="E31" s="8">
        <f>VLOOKUP($AP31,OWData!$AI$4:$AO$94,6,FALSE)</f>
        <v>10100.084</v>
      </c>
      <c r="F31" s="9">
        <f>VLOOKUP($AP31,OWData!$AI$4:$AO$94,7,FALSE)</f>
        <v>11300.084</v>
      </c>
      <c r="G31" s="26"/>
      <c r="AO31">
        <f t="shared" si="1"/>
        <v>71</v>
      </c>
      <c r="AP31">
        <f>IF(ISNUMBER(VLOOKUP($AO31,OWData!$AI$4:$AL$94,2,FALSE)),AO31,AP32)</f>
        <v>71</v>
      </c>
      <c r="AR31" t="s">
        <v>1346</v>
      </c>
      <c r="AU31" t="s">
        <v>1416</v>
      </c>
      <c r="AX31" s="54" t="str">
        <f t="shared" si="0"/>
        <v>Tanzania                      9,400   10,100  11,300</v>
      </c>
    </row>
    <row r="32" spans="1:50" ht="12.75">
      <c r="A32" s="64">
        <f>VLOOKUP(B32,OWData!$B$4:$Q$91,16,FALSE)</f>
        <v>39123</v>
      </c>
      <c r="B32" s="13" t="str">
        <f>VLOOKUP($AO32,OWData!$AI$4:$AL$94,3,FALSE)</f>
        <v>Uganda</v>
      </c>
      <c r="C32" s="7">
        <f>VLOOKUP($AP32,OWData!$AI$4:$AO$94,4,FALSE)</f>
      </c>
      <c r="D32" s="8">
        <f>VLOOKUP($AP32,OWData!$AI$4:$AO$94,5,FALSE)</f>
        <v>9400.085</v>
      </c>
      <c r="E32" s="8">
        <f>VLOOKUP($AP32,OWData!$AI$4:$AO$94,6,FALSE)</f>
        <v>10100.085</v>
      </c>
      <c r="F32" s="9">
        <f>VLOOKUP($AP32,OWData!$AI$4:$AO$94,7,FALSE)</f>
        <v>11300.085</v>
      </c>
      <c r="G32" s="26"/>
      <c r="AO32">
        <f t="shared" si="1"/>
        <v>70</v>
      </c>
      <c r="AP32">
        <f>IF(ISNUMBER(VLOOKUP($AO32,OWData!$AI$4:$AL$94,2,FALSE)),AO32,AP33)</f>
        <v>70</v>
      </c>
      <c r="AR32" t="s">
        <v>1278</v>
      </c>
      <c r="AU32" t="s">
        <v>1417</v>
      </c>
      <c r="AX32" s="54" t="str">
        <f t="shared" si="0"/>
        <v>Uganda                        9,400   10,100  11,300</v>
      </c>
    </row>
    <row r="33" spans="1:50" ht="12.75">
      <c r="A33" s="64">
        <f>VLOOKUP(B33,OWData!$B$4:$Q$91,16,FALSE)</f>
        <v>39123</v>
      </c>
      <c r="B33" s="13" t="str">
        <f>VLOOKUP($AO33,OWData!$AI$4:$AL$94,3,FALSE)</f>
        <v>Zambia</v>
      </c>
      <c r="C33" s="7">
        <f>VLOOKUP($AP33,OWData!$AI$4:$AO$94,4,FALSE)</f>
      </c>
      <c r="D33" s="8">
        <f>VLOOKUP($AP33,OWData!$AI$4:$AO$94,5,FALSE)</f>
        <v>9400.09</v>
      </c>
      <c r="E33" s="8">
        <f>VLOOKUP($AP33,OWData!$AI$4:$AO$94,6,FALSE)</f>
        <v>10100.09</v>
      </c>
      <c r="F33" s="9">
        <f>VLOOKUP($AP33,OWData!$AI$4:$AO$94,7,FALSE)</f>
        <v>11300.09</v>
      </c>
      <c r="G33" s="26"/>
      <c r="AO33">
        <f t="shared" si="1"/>
        <v>69</v>
      </c>
      <c r="AP33">
        <f>IF(ISNUMBER(VLOOKUP($AO33,OWData!$AI$4:$AL$94,2,FALSE)),AO33,AP34)</f>
        <v>69</v>
      </c>
      <c r="AR33" t="s">
        <v>860</v>
      </c>
      <c r="AU33" t="s">
        <v>1418</v>
      </c>
      <c r="AX33" s="54" t="str">
        <f t="shared" si="0"/>
        <v>Zambia                        9,400   10,100  11,300</v>
      </c>
    </row>
    <row r="34" spans="1:50" ht="12.75">
      <c r="A34" s="64">
        <f>VLOOKUP(B34,OWData!$B$4:$Q$91,16,FALSE)</f>
        <v>39123</v>
      </c>
      <c r="B34" s="13" t="str">
        <f>VLOOKUP($AO34,OWData!$AI$4:$AL$94,3,FALSE)</f>
        <v>Zimbabwe</v>
      </c>
      <c r="C34" s="7">
        <f>VLOOKUP($AP34,OWData!$AI$4:$AO$94,4,FALSE)</f>
      </c>
      <c r="D34" s="8">
        <f>VLOOKUP($AP34,OWData!$AI$4:$AO$94,5,FALSE)</f>
        <v>9400.09</v>
      </c>
      <c r="E34" s="8">
        <f>VLOOKUP($AP34,OWData!$AI$4:$AO$94,6,FALSE)</f>
        <v>10100.09</v>
      </c>
      <c r="F34" s="9">
        <f>VLOOKUP($AP34,OWData!$AI$4:$AO$94,7,FALSE)</f>
        <v>11300.09</v>
      </c>
      <c r="G34" s="26"/>
      <c r="AO34">
        <f t="shared" si="1"/>
        <v>68</v>
      </c>
      <c r="AP34">
        <f>IF(ISNUMBER(VLOOKUP($AO34,OWData!$AI$4:$AL$94,2,FALSE)),AO34,AP35)</f>
        <v>68</v>
      </c>
      <c r="AR34" t="s">
        <v>1320</v>
      </c>
      <c r="AU34" t="s">
        <v>1380</v>
      </c>
      <c r="AX34" s="54" t="str">
        <f t="shared" si="0"/>
        <v>Zimbabwe                      9,400   10,100  11,300</v>
      </c>
    </row>
    <row r="35" spans="1:50" ht="12.75">
      <c r="A35" s="64">
        <f>VLOOKUP(B35,OWData!$B$4:$Q$91,16,FALSE)</f>
        <v>39563</v>
      </c>
      <c r="B35" s="13" t="str">
        <f>VLOOKUP($AO35,OWData!$AI$4:$AL$94,3,FALSE)</f>
        <v>Philippines</v>
      </c>
      <c r="C35" s="7">
        <f>VLOOKUP($AP35,OWData!$AI$4:$AO$94,4,FALSE)</f>
        <v>8481.08</v>
      </c>
      <c r="D35" s="8">
        <f>VLOOKUP($AP35,OWData!$AI$4:$AO$94,5,FALSE)</f>
        <v>9734.08</v>
      </c>
      <c r="E35" s="8">
        <f>VLOOKUP($AP35,OWData!$AI$4:$AO$94,6,FALSE)</f>
        <v>11088.08</v>
      </c>
      <c r="F35" s="9">
        <f>VLOOKUP($AP35,OWData!$AI$4:$AO$94,7,FALSE)</f>
        <v>12390.08</v>
      </c>
      <c r="G35" s="26"/>
      <c r="AO35">
        <f t="shared" si="1"/>
        <v>67</v>
      </c>
      <c r="AP35">
        <f>IF(ISNUMBER(VLOOKUP($AO35,OWData!$AI$4:$AL$94,2,FALSE)),AO35,AP36)</f>
        <v>67</v>
      </c>
      <c r="AR35" t="s">
        <v>1322</v>
      </c>
      <c r="AU35" t="s">
        <v>1419</v>
      </c>
      <c r="AX35" s="54" t="str">
        <f t="shared" si="0"/>
        <v>Philippines           8,481   9,734   11,088  12,390</v>
      </c>
    </row>
    <row r="36" spans="1:50" ht="12.75">
      <c r="A36" s="64">
        <f>VLOOKUP(B36,OWData!$B$4:$Q$91,16,FALSE)</f>
        <v>39563</v>
      </c>
      <c r="B36" s="13" t="str">
        <f>VLOOKUP($AO36,OWData!$AI$4:$AL$94,3,FALSE)</f>
        <v>Jordan</v>
      </c>
      <c r="C36" s="7">
        <f>VLOOKUP($AP36,OWData!$AI$4:$AO$94,4,FALSE)</f>
        <v>8705.493825891603</v>
      </c>
      <c r="D36" s="8">
        <f>VLOOKUP($AP36,OWData!$AI$4:$AO$94,5,FALSE)</f>
        <v>9969.183800617804</v>
      </c>
      <c r="E36" s="8">
        <f>VLOOKUP($AP36,OWData!$AI$4:$AO$94,6,FALSE)</f>
        <v>11654.103766919405</v>
      </c>
      <c r="F36" s="9">
        <f>VLOOKUP($AP36,OWData!$AI$4:$AO$94,7,FALSE)</f>
        <v>12917.793741645604</v>
      </c>
      <c r="G36" s="26"/>
      <c r="AO36">
        <f t="shared" si="1"/>
        <v>66</v>
      </c>
      <c r="AP36">
        <f>IF(ISNUMBER(VLOOKUP($AO36,OWData!$AI$4:$AL$94,2,FALSE)),AO36,AP37)</f>
        <v>66</v>
      </c>
      <c r="AR36" t="s">
        <v>1321</v>
      </c>
      <c r="AU36" t="s">
        <v>1420</v>
      </c>
      <c r="AX36" s="54" t="str">
        <f t="shared" si="0"/>
        <v>Jordan                8,705   9,969   11,654  12,918</v>
      </c>
    </row>
    <row r="37" spans="1:50" ht="12.75">
      <c r="A37" s="64">
        <f>VLOOKUP(B37,OWData!$B$4:$Q$91,16,FALSE)</f>
        <v>39563</v>
      </c>
      <c r="B37" s="13" t="str">
        <f>VLOOKUP($AO37,OWData!$AI$4:$AL$94,3,FALSE)</f>
        <v>Korea</v>
      </c>
      <c r="C37" s="7">
        <f>VLOOKUP($AP37,OWData!$AI$4:$AO$94,4,FALSE)</f>
        <v>8782.93135173355</v>
      </c>
      <c r="D37" s="8">
        <f>VLOOKUP($AP37,OWData!$AI$4:$AO$94,5,FALSE)</f>
        <v>9986.922570261664</v>
      </c>
      <c r="E37" s="8">
        <f>VLOOKUP($AP37,OWData!$AI$4:$AO$94,6,FALSE)</f>
        <v>11475.91606327011</v>
      </c>
      <c r="F37" s="9">
        <f>VLOOKUP($AP37,OWData!$AI$4:$AO$94,7,FALSE)</f>
        <v>13197.302111805542</v>
      </c>
      <c r="G37" s="26"/>
      <c r="AO37">
        <f t="shared" si="1"/>
        <v>65</v>
      </c>
      <c r="AP37">
        <f>IF(ISNUMBER(VLOOKUP($AO37,OWData!$AI$4:$AL$94,2,FALSE)),AO37,AP38)</f>
        <v>65</v>
      </c>
      <c r="AR37" t="s">
        <v>1254</v>
      </c>
      <c r="AU37" t="s">
        <v>1393</v>
      </c>
      <c r="AX37" s="54" t="str">
        <f t="shared" si="0"/>
        <v>Korea                 8,783   9,987   11,476  13,197</v>
      </c>
    </row>
    <row r="38" spans="1:50" ht="12.75">
      <c r="A38" s="64">
        <f>VLOOKUP(B38,OWData!$B$4:$Q$91,16,FALSE)</f>
        <v>39563</v>
      </c>
      <c r="B38" s="13" t="str">
        <f>VLOOKUP($AO38,OWData!$AI$4:$AL$94,3,FALSE)</f>
        <v>Israel</v>
      </c>
      <c r="C38" s="7">
        <f>VLOOKUP($AP38,OWData!$AI$4:$AO$94,4,FALSE)</f>
        <v>8800.073</v>
      </c>
      <c r="D38" s="8">
        <f>VLOOKUP($AP38,OWData!$AI$4:$AO$94,5,FALSE)</f>
        <v>10000.073</v>
      </c>
      <c r="E38" s="8">
        <f>VLOOKUP($AP38,OWData!$AI$4:$AO$94,6,FALSE)</f>
        <v>11700.073</v>
      </c>
      <c r="F38" s="9">
        <f>VLOOKUP($AP38,OWData!$AI$4:$AO$94,7,FALSE)</f>
        <v>13000.073</v>
      </c>
      <c r="G38" s="26"/>
      <c r="AO38">
        <f t="shared" si="1"/>
        <v>64</v>
      </c>
      <c r="AP38">
        <f>IF(ISNUMBER(VLOOKUP($AO38,OWData!$AI$4:$AL$94,2,FALSE)),AO38,AP39)</f>
        <v>64</v>
      </c>
      <c r="AR38" t="s">
        <v>1275</v>
      </c>
      <c r="AU38" t="s">
        <v>1421</v>
      </c>
      <c r="AX38" s="54" t="str">
        <f t="shared" si="0"/>
        <v>Israel                8,800   10,000  11,700  13,000</v>
      </c>
    </row>
    <row r="39" spans="1:50" ht="12.75">
      <c r="A39" s="64">
        <f>VLOOKUP(B39,OWData!$B$4:$Q$91,16,FALSE)</f>
        <v>39563</v>
      </c>
      <c r="B39" s="13" t="str">
        <f>VLOOKUP($AO39,OWData!$AI$4:$AL$94,3,FALSE)</f>
        <v>Lebanon</v>
      </c>
      <c r="C39" s="7">
        <f>VLOOKUP($AP39,OWData!$AI$4:$AO$94,4,FALSE)</f>
        <v>8800.076</v>
      </c>
      <c r="D39" s="8">
        <f>VLOOKUP($AP39,OWData!$AI$4:$AO$94,5,FALSE)</f>
        <v>10000.076</v>
      </c>
      <c r="E39" s="8">
        <f>VLOOKUP($AP39,OWData!$AI$4:$AO$94,6,FALSE)</f>
        <v>11700.076</v>
      </c>
      <c r="F39" s="9">
        <f>VLOOKUP($AP39,OWData!$AI$4:$AO$94,7,FALSE)</f>
        <v>13000.076</v>
      </c>
      <c r="G39" s="26"/>
      <c r="AO39">
        <f t="shared" si="1"/>
        <v>63</v>
      </c>
      <c r="AP39">
        <f>IF(ISNUMBER(VLOOKUP($AO39,OWData!$AI$4:$AL$94,2,FALSE)),AO39,AP40)</f>
        <v>63</v>
      </c>
      <c r="AR39" t="s">
        <v>1255</v>
      </c>
      <c r="AU39" t="s">
        <v>1394</v>
      </c>
      <c r="AX39" s="54" t="str">
        <f t="shared" si="0"/>
        <v>Lebanon               8,800   10,000  11,700  13,000</v>
      </c>
    </row>
    <row r="40" spans="1:50" ht="12.75">
      <c r="A40" s="64">
        <f>VLOOKUP(B40,OWData!$B$4:$Q$91,16,FALSE)</f>
        <v>39563</v>
      </c>
      <c r="B40" s="13" t="str">
        <f>VLOOKUP($AO40,OWData!$AI$4:$AL$94,3,FALSE)</f>
        <v>South America</v>
      </c>
      <c r="C40" s="7">
        <f>VLOOKUP($AP40,OWData!$AI$4:$AO$94,4,FALSE)</f>
      </c>
      <c r="D40" s="8">
        <f>VLOOKUP($AP40,OWData!$AI$4:$AO$94,5,FALSE)</f>
        <v>10200.275</v>
      </c>
      <c r="E40" s="8">
        <f>VLOOKUP($AP40,OWData!$AI$4:$AO$94,6,FALSE)</f>
        <v>11816.147</v>
      </c>
      <c r="F40" s="9">
        <f>VLOOKUP($AP40,OWData!$AI$4:$AO$94,7,FALSE)</f>
        <v>13835.987</v>
      </c>
      <c r="G40" s="26"/>
      <c r="AO40">
        <f t="shared" si="1"/>
        <v>62</v>
      </c>
      <c r="AP40">
        <f>IF(ISNUMBER(VLOOKUP($AO40,OWData!$AI$4:$AL$94,2,FALSE)),AO40,AP41)</f>
        <v>62</v>
      </c>
      <c r="AR40" t="s">
        <v>1323</v>
      </c>
      <c r="AU40" t="s">
        <v>1395</v>
      </c>
      <c r="AX40" s="54" t="str">
        <f aca="true" t="shared" si="2" ref="AX40:AX101">B40&amp;REPT(" ",$AX$9-LEN(B40))&amp;TEXT(C40,"0,0")&amp;REPT(" ",$AY$9-LEN(TEXT(C40,"0,0")))&amp;TEXT(D40,"0,0")&amp;REPT(" ",$AY$9-LEN(TEXT(D40,"0,0")))&amp;TEXT(E40,"0,0")&amp;REPT(" ",$AY$9-LEN(TEXT(E40,"0,0")))&amp;TEXT(F40,"0,0")</f>
        <v>South America                 10,200  11,816  13,836</v>
      </c>
    </row>
    <row r="41" spans="1:50" ht="12.75">
      <c r="A41" s="64">
        <f>VLOOKUP(B41,OWData!$B$4:$Q$91,16,FALSE)</f>
        <v>39563</v>
      </c>
      <c r="B41" s="13" t="str">
        <f>VLOOKUP($AO41,OWData!$AI$4:$AL$94,3,FALSE)</f>
        <v>Qatar</v>
      </c>
      <c r="C41" s="7">
        <f>VLOOKUP($AP41,OWData!$AI$4:$AO$94,4,FALSE)</f>
        <v>8920.810029424681</v>
      </c>
      <c r="D41" s="8">
        <f>VLOOKUP($AP41,OWData!$AI$4:$AO$94,5,FALSE)</f>
        <v>10224.608887571365</v>
      </c>
      <c r="E41" s="8">
        <f>VLOOKUP($AP41,OWData!$AI$4:$AO$94,6,FALSE)</f>
        <v>11495.469669301712</v>
      </c>
      <c r="F41" s="9">
        <f>VLOOKUP($AP41,OWData!$AI$4:$AO$94,7,FALSE)</f>
        <v>12799.268527448396</v>
      </c>
      <c r="G41" s="26"/>
      <c r="AO41">
        <f t="shared" si="1"/>
        <v>61</v>
      </c>
      <c r="AP41">
        <f>IF(ISNUMBER(VLOOKUP($AO41,OWData!$AI$4:$AL$94,2,FALSE)),AO41,AP42)</f>
        <v>61</v>
      </c>
      <c r="AR41" t="s">
        <v>1354</v>
      </c>
      <c r="AU41" t="s">
        <v>1018</v>
      </c>
      <c r="AX41" s="54" t="str">
        <f t="shared" si="2"/>
        <v>Qatar                 8,921   10,225  11,495  12,799</v>
      </c>
    </row>
    <row r="42" spans="1:50" ht="12.75">
      <c r="A42" s="64">
        <f>VLOOKUP(B42,OWData!$B$4:$Q$91,16,FALSE)</f>
        <v>39563</v>
      </c>
      <c r="B42" s="13" t="str">
        <f>VLOOKUP($AO42,OWData!$AI$4:$AL$94,3,FALSE)</f>
        <v>Gibraltar</v>
      </c>
      <c r="C42" s="7">
        <f>VLOOKUP($AP42,OWData!$AI$4:$AO$94,4,FALSE)</f>
        <v>9302.28986973382</v>
      </c>
      <c r="D42" s="8">
        <f>VLOOKUP($AP42,OWData!$AI$4:$AO$94,5,FALSE)</f>
        <v>10291.887621833162</v>
      </c>
      <c r="E42" s="8">
        <f>VLOOKUP($AP42,OWData!$AI$4:$AO$94,6,FALSE)</f>
        <v>11479.404924352373</v>
      </c>
      <c r="F42" s="9">
        <f>VLOOKUP($AP42,OWData!$AI$4:$AO$94,7,FALSE)</f>
        <v>13062.76132771132</v>
      </c>
      <c r="G42" s="26"/>
      <c r="AO42">
        <f t="shared" si="1"/>
        <v>60</v>
      </c>
      <c r="AP42">
        <f>IF(ISNUMBER(VLOOKUP($AO42,OWData!$AI$4:$AL$94,2,FALSE)),AO42,AP43)</f>
        <v>60</v>
      </c>
      <c r="AR42" t="s">
        <v>1347</v>
      </c>
      <c r="AU42" t="s">
        <v>130</v>
      </c>
      <c r="AX42" s="54" t="str">
        <f t="shared" si="2"/>
        <v>Gibraltar             9,302   10,292  11,479  13,063</v>
      </c>
    </row>
    <row r="43" spans="1:50" ht="12.75">
      <c r="A43" s="64">
        <f>VLOOKUP(B43,OWData!$B$4:$Q$91,16,FALSE)</f>
        <v>39563</v>
      </c>
      <c r="B43" s="13" t="str">
        <f>VLOOKUP($AO43,OWData!$AI$4:$AL$94,3,FALSE)</f>
        <v>Japan</v>
      </c>
      <c r="C43" s="7">
        <f>VLOOKUP($AP43,OWData!$AI$4:$AO$94,4,FALSE)</f>
        <v>9189.429542946173</v>
      </c>
      <c r="D43" s="8">
        <f>VLOOKUP($AP43,OWData!$AI$4:$AO$94,5,FALSE)</f>
        <v>10830.145456736456</v>
      </c>
      <c r="E43" s="8">
        <f>VLOOKUP($AP43,OWData!$AI$4:$AO$94,6,FALSE)</f>
        <v>12549.72344844632</v>
      </c>
      <c r="F43" s="9">
        <f>VLOOKUP($AP43,OWData!$AI$4:$AO$94,7,FALSE)</f>
        <v>13694.185310937786</v>
      </c>
      <c r="G43" s="26"/>
      <c r="AO43">
        <f t="shared" si="1"/>
        <v>59</v>
      </c>
      <c r="AP43">
        <f>IF(ISNUMBER(VLOOKUP($AO43,OWData!$AI$4:$AL$94,2,FALSE)),AO43,AP44)</f>
        <v>59</v>
      </c>
      <c r="AR43" t="s">
        <v>1276</v>
      </c>
      <c r="AU43" t="s">
        <v>297</v>
      </c>
      <c r="AX43" s="54" t="str">
        <f t="shared" si="2"/>
        <v>Japan                 9,189   10,830  12,550  13,694</v>
      </c>
    </row>
    <row r="44" spans="1:50" ht="12.75">
      <c r="A44" s="64">
        <f>VLOOKUP(B44,OWData!$B$4:$Q$91,16,FALSE)</f>
        <v>39123</v>
      </c>
      <c r="B44" s="13" t="str">
        <f>VLOOKUP($AO44,OWData!$AI$4:$AL$94,3,FALSE)</f>
        <v>Krygyzstan</v>
      </c>
      <c r="C44" s="7">
        <f>VLOOKUP($AP44,OWData!$AI$4:$AO$94,4,FALSE)</f>
        <v>10100.075</v>
      </c>
      <c r="D44" s="8">
        <f>VLOOKUP($AP44,OWData!$AI$4:$AO$94,5,FALSE)</f>
        <v>10900.075</v>
      </c>
      <c r="E44" s="8">
        <f>VLOOKUP($AP44,OWData!$AI$4:$AO$94,6,FALSE)</f>
        <v>11800.075</v>
      </c>
      <c r="F44" s="9">
        <f>VLOOKUP($AP44,OWData!$AI$4:$AO$94,7,FALSE)</f>
        <v>13700.075</v>
      </c>
      <c r="G44" s="26"/>
      <c r="AO44">
        <f t="shared" si="1"/>
        <v>58</v>
      </c>
      <c r="AP44">
        <f>IF(ISNUMBER(VLOOKUP($AO44,OWData!$AI$4:$AL$94,2,FALSE)),AO44,AP45)</f>
        <v>58</v>
      </c>
      <c r="AR44" t="s">
        <v>998</v>
      </c>
      <c r="AU44" t="s">
        <v>1019</v>
      </c>
      <c r="AX44" s="54" t="str">
        <f t="shared" si="2"/>
        <v>Krygyzstan            10,100  10,900  11,800  13,700</v>
      </c>
    </row>
    <row r="45" spans="1:50" ht="12.75">
      <c r="A45" s="64">
        <f>VLOOKUP(B45,OWData!$B$4:$Q$91,16,FALSE)</f>
        <v>39563</v>
      </c>
      <c r="B45" s="13" t="str">
        <f>VLOOKUP($AO45,OWData!$AI$4:$AL$94,3,FALSE)</f>
        <v>Pakistan</v>
      </c>
      <c r="C45" s="7">
        <f>VLOOKUP($AP45,OWData!$AI$4:$AO$94,4,FALSE)</f>
        <v>10012.308627503297</v>
      </c>
      <c r="D45" s="8">
        <f>VLOOKUP($AP45,OWData!$AI$4:$AO$94,5,FALSE)</f>
        <v>11160.650357178247</v>
      </c>
      <c r="E45" s="8">
        <f>VLOOKUP($AP45,OWData!$AI$4:$AO$94,6,FALSE)</f>
        <v>12835.480942153994</v>
      </c>
      <c r="F45" s="9">
        <f>VLOOKUP($AP45,OWData!$AI$4:$AO$94,7,FALSE)</f>
        <v>14326.537115373801</v>
      </c>
      <c r="G45" s="26"/>
      <c r="AO45">
        <f t="shared" si="1"/>
        <v>57</v>
      </c>
      <c r="AP45">
        <f>IF(ISNUMBER(VLOOKUP($AO45,OWData!$AI$4:$AL$94,2,FALSE)),AO45,AP46)</f>
        <v>57</v>
      </c>
      <c r="AR45" t="s">
        <v>1348</v>
      </c>
      <c r="AU45" t="s">
        <v>1423</v>
      </c>
      <c r="AX45" s="54" t="str">
        <f t="shared" si="2"/>
        <v>Pakistan              10,012  11,161  12,835  14,327</v>
      </c>
    </row>
    <row r="46" spans="1:50" ht="12.75">
      <c r="A46" s="64">
        <f>VLOOKUP(B46,OWData!$B$4:$Q$91,16,FALSE)</f>
        <v>39563</v>
      </c>
      <c r="B46" s="13" t="str">
        <f>VLOOKUP($AO46,OWData!$AI$4:$AL$94,3,FALSE)</f>
        <v>Egypt</v>
      </c>
      <c r="C46" s="7">
        <f>VLOOKUP($AP46,OWData!$AI$4:$AO$94,4,FALSE)</f>
        <v>9295.782035870516</v>
      </c>
      <c r="D46" s="8">
        <f>VLOOKUP($AP46,OWData!$AI$4:$AO$94,5,FALSE)</f>
        <v>11209.605307961505</v>
      </c>
      <c r="E46" s="8">
        <f>VLOOKUP($AP46,OWData!$AI$4:$AO$94,6,FALSE)</f>
        <v>13123.428580052494</v>
      </c>
      <c r="F46" s="9">
        <f>VLOOKUP($AP46,OWData!$AI$4:$AO$94,7,FALSE)</f>
        <v>15310.655176727909</v>
      </c>
      <c r="G46" s="26"/>
      <c r="AO46">
        <f t="shared" si="1"/>
        <v>56</v>
      </c>
      <c r="AP46">
        <f>IF(ISNUMBER(VLOOKUP($AO46,OWData!$AI$4:$AL$94,2,FALSE)),AO46,AP47)</f>
        <v>56</v>
      </c>
      <c r="AR46" t="s">
        <v>1349</v>
      </c>
      <c r="AU46" t="s">
        <v>1396</v>
      </c>
      <c r="AX46" s="54" t="str">
        <f t="shared" si="2"/>
        <v>Egypt                 9,296   11,210  13,123  15,311</v>
      </c>
    </row>
    <row r="47" spans="1:50" ht="12.75">
      <c r="A47" s="64">
        <f>VLOOKUP(B47,OWData!$B$4:$Q$91,16,FALSE)</f>
        <v>39563</v>
      </c>
      <c r="B47" s="13" t="str">
        <f>VLOOKUP($AO47,OWData!$AI$4:$AL$94,3,FALSE)</f>
        <v>New Zealand Basic</v>
      </c>
      <c r="C47" s="7">
        <f>VLOOKUP($AP47,OWData!$AI$4:$AO$94,4,FALSE)</f>
      </c>
      <c r="D47" s="8">
        <f>VLOOKUP($AP47,OWData!$AI$4:$AO$94,5,FALSE)</f>
        <v>11224.742795759277</v>
      </c>
      <c r="E47" s="8">
        <f>VLOOKUP($AP47,OWData!$AI$4:$AO$94,6,FALSE)</f>
        <v>12783.832287496103</v>
      </c>
      <c r="F47" s="9">
        <f>VLOOKUP($AP47,OWData!$AI$4:$AO$94,7,FALSE)</f>
        <v>14420.87625381977</v>
      </c>
      <c r="G47" s="26"/>
      <c r="AO47">
        <f t="shared" si="1"/>
        <v>55</v>
      </c>
      <c r="AP47">
        <f>IF(ISNUMBER(VLOOKUP($AO47,OWData!$AI$4:$AL$94,2,FALSE)),AO47,AP48)</f>
        <v>55</v>
      </c>
      <c r="AR47" t="s">
        <v>1256</v>
      </c>
      <c r="AU47" t="s">
        <v>1020</v>
      </c>
      <c r="AX47" s="54" t="str">
        <f t="shared" si="2"/>
        <v>New Zealand Basic             11,225  12,784  14,421</v>
      </c>
    </row>
    <row r="48" spans="1:50" ht="12.75">
      <c r="A48" s="64">
        <f>VLOOKUP(B48,OWData!$B$4:$Q$91,16,FALSE)</f>
        <v>39563</v>
      </c>
      <c r="B48" s="13" t="str">
        <f>VLOOKUP($AO48,OWData!$AI$4:$AL$94,3,FALSE)</f>
        <v>New Zealand Peak</v>
      </c>
      <c r="C48" s="7">
        <f>VLOOKUP($AP48,OWData!$AI$4:$AO$94,4,FALSE)</f>
      </c>
      <c r="D48" s="8">
        <f>VLOOKUP($AP48,OWData!$AI$4:$AO$94,5,FALSE)</f>
        <v>11224.742795759277</v>
      </c>
      <c r="E48" s="8">
        <f>VLOOKUP($AP48,OWData!$AI$4:$AO$94,6,FALSE)</f>
        <v>12783.832287496103</v>
      </c>
      <c r="F48" s="9">
        <f>VLOOKUP($AP48,OWData!$AI$4:$AO$94,7,FALSE)</f>
        <v>14420.87625381977</v>
      </c>
      <c r="G48" s="26"/>
      <c r="AO48">
        <f t="shared" si="1"/>
        <v>54</v>
      </c>
      <c r="AP48">
        <f>IF(ISNUMBER(VLOOKUP($AO48,OWData!$AI$4:$AL$94,2,FALSE)),AO48,AP49)</f>
        <v>54</v>
      </c>
      <c r="AR48" t="s">
        <v>1324</v>
      </c>
      <c r="AU48" t="s">
        <v>1381</v>
      </c>
      <c r="AX48" s="54" t="str">
        <f t="shared" si="2"/>
        <v>New Zealand Peak              11,225  12,784  14,421</v>
      </c>
    </row>
    <row r="49" spans="1:50" ht="12.75">
      <c r="A49" s="64">
        <f>VLOOKUP(B49,OWData!$B$4:$Q$91,16,FALSE)</f>
        <v>39563</v>
      </c>
      <c r="B49" s="13" t="str">
        <f>VLOOKUP($AO49,OWData!$AI$4:$AL$94,3,FALSE)</f>
        <v>Taiwan</v>
      </c>
      <c r="C49" s="7">
        <f>VLOOKUP($AP49,OWData!$AI$4:$AO$94,4,FALSE)</f>
        <v>9864.710443755042</v>
      </c>
      <c r="D49" s="8">
        <f>VLOOKUP($AP49,OWData!$AI$4:$AO$94,5,FALSE)</f>
        <v>11260.75024253117</v>
      </c>
      <c r="E49" s="8">
        <f>VLOOKUP($AP49,OWData!$AI$4:$AO$94,6,FALSE)</f>
        <v>12949.705885391593</v>
      </c>
      <c r="F49" s="9">
        <f>VLOOKUP($AP49,OWData!$AI$4:$AO$94,7,FALSE)</f>
        <v>14616.296032767747</v>
      </c>
      <c r="G49" s="26"/>
      <c r="AO49">
        <f t="shared" si="1"/>
        <v>53</v>
      </c>
      <c r="AP49">
        <f>IF(ISNUMBER(VLOOKUP($AO49,OWData!$AI$4:$AL$94,2,FALSE)),AO49,AP50)</f>
        <v>53</v>
      </c>
      <c r="AR49" t="s">
        <v>1277</v>
      </c>
      <c r="AU49" t="s">
        <v>1397</v>
      </c>
      <c r="AX49" s="54" t="str">
        <f t="shared" si="2"/>
        <v>Taiwan                9,865   11,261  12,950  14,616</v>
      </c>
    </row>
    <row r="50" spans="1:50" ht="12.75">
      <c r="A50" s="64">
        <f>VLOOKUP(B50,OWData!$B$4:$Q$91,16,FALSE)</f>
        <v>39563</v>
      </c>
      <c r="B50" s="13" t="str">
        <f>VLOOKUP($AO50,OWData!$AI$4:$AL$94,3,FALSE)</f>
        <v>North America</v>
      </c>
      <c r="C50" s="7">
        <f>VLOOKUP($AP50,OWData!$AI$4:$AO$94,4,FALSE)</f>
        <v>10600.078</v>
      </c>
      <c r="D50" s="8">
        <f>VLOOKUP($AP50,OWData!$AI$4:$AO$94,5,FALSE)</f>
        <v>11400.078</v>
      </c>
      <c r="E50" s="8">
        <f>VLOOKUP($AP50,OWData!$AI$4:$AO$94,6,FALSE)</f>
        <v>13100.078</v>
      </c>
      <c r="F50" s="9">
        <f>VLOOKUP($AP50,OWData!$AI$4:$AO$94,7,FALSE)</f>
        <v>15400.078</v>
      </c>
      <c r="G50" s="26"/>
      <c r="AO50">
        <f t="shared" si="1"/>
        <v>52</v>
      </c>
      <c r="AP50">
        <f>IF(ISNUMBER(VLOOKUP($AO50,OWData!$AI$4:$AL$94,2,FALSE)),AO50,AP51)</f>
        <v>52</v>
      </c>
      <c r="AR50" t="s">
        <v>1166</v>
      </c>
      <c r="AU50" t="s">
        <v>1021</v>
      </c>
      <c r="AX50" s="54" t="str">
        <f t="shared" si="2"/>
        <v>North America         10,600  11,400  13,100  15,400</v>
      </c>
    </row>
    <row r="51" spans="1:50" ht="12.75">
      <c r="A51" s="64">
        <f>VLOOKUP(B51,OWData!$B$4:$Q$91,16,FALSE)</f>
        <v>39563</v>
      </c>
      <c r="B51" s="13" t="str">
        <f>VLOOKUP($AO51,OWData!$AI$4:$AL$94,3,FALSE)</f>
        <v>Sweden</v>
      </c>
      <c r="C51" s="7">
        <f>VLOOKUP($AP51,OWData!$AI$4:$AO$94,4,FALSE)</f>
        <v>10289.269015920387</v>
      </c>
      <c r="D51" s="8">
        <f>VLOOKUP($AP51,OWData!$AI$4:$AO$94,5,FALSE)</f>
        <v>11515.801067736278</v>
      </c>
      <c r="E51" s="8">
        <f>VLOOKUP($AP51,OWData!$AI$4:$AO$94,6,FALSE)</f>
        <v>13403.688720652577</v>
      </c>
      <c r="F51" s="9">
        <f>VLOOKUP($AP51,OWData!$AI$4:$AO$94,7,FALSE)</f>
        <v>15077.404244876689</v>
      </c>
      <c r="G51" s="26"/>
      <c r="AO51">
        <f t="shared" si="1"/>
        <v>51</v>
      </c>
      <c r="AP51">
        <f>IF(ISNUMBER(VLOOKUP($AO51,OWData!$AI$4:$AL$94,2,FALSE)),AO51,AP52)</f>
        <v>51</v>
      </c>
      <c r="AR51" t="s">
        <v>1350</v>
      </c>
      <c r="AU51" t="s">
        <v>1424</v>
      </c>
      <c r="AX51" s="54" t="str">
        <f t="shared" si="2"/>
        <v>Sweden                10,289  11,516  13,404  15,077</v>
      </c>
    </row>
    <row r="52" spans="1:50" ht="12.75">
      <c r="A52" s="64">
        <f>VLOOKUP(B52,OWData!$B$4:$Q$91,16,FALSE)</f>
        <v>39563</v>
      </c>
      <c r="B52" s="13" t="str">
        <f>VLOOKUP($AO52,OWData!$AI$4:$AL$94,3,FALSE)</f>
        <v>Sri Lanka</v>
      </c>
      <c r="C52" s="7">
        <f>VLOOKUP($AP52,OWData!$AI$4:$AO$94,4,FALSE)</f>
        <v>10643.24232311622</v>
      </c>
      <c r="D52" s="8">
        <f>VLOOKUP($AP52,OWData!$AI$4:$AO$94,5,FALSE)</f>
        <v>11786.681020434227</v>
      </c>
      <c r="E52" s="8">
        <f>VLOOKUP($AP52,OWData!$AI$4:$AO$94,6,FALSE)</f>
        <v>13289.315120051086</v>
      </c>
      <c r="F52" s="9">
        <f>VLOOKUP($AP52,OWData!$AI$4:$AO$94,7,FALSE)</f>
        <v>15016.446346104727</v>
      </c>
      <c r="G52" s="26"/>
      <c r="AO52">
        <f t="shared" si="1"/>
        <v>50</v>
      </c>
      <c r="AP52">
        <f>IF(ISNUMBER(VLOOKUP($AO52,OWData!$AI$4:$AL$94,2,FALSE)),AO52,AP53)</f>
        <v>50</v>
      </c>
      <c r="AR52" t="s">
        <v>1281</v>
      </c>
      <c r="AU52" t="s">
        <v>1022</v>
      </c>
      <c r="AX52" s="54" t="str">
        <f t="shared" si="2"/>
        <v>Sri Lanka             10,643  11,787  13,289  15,016</v>
      </c>
    </row>
    <row r="53" spans="1:50" ht="12.75">
      <c r="A53" s="64">
        <f>VLOOKUP(B53,OWData!$B$4:$Q$91,16,FALSE)</f>
        <v>39563</v>
      </c>
      <c r="B53" s="13" t="str">
        <f>VLOOKUP($AO53,OWData!$AI$4:$AL$94,3,FALSE)</f>
        <v>Kuwait</v>
      </c>
      <c r="C53" s="7">
        <f>VLOOKUP($AP53,OWData!$AI$4:$AO$94,4,FALSE)</f>
        <v>10070.944078701978</v>
      </c>
      <c r="D53" s="8">
        <f>VLOOKUP($AP53,OWData!$AI$4:$AO$94,5,FALSE)</f>
        <v>11935.919834017159</v>
      </c>
      <c r="E53" s="8">
        <f>VLOOKUP($AP53,OWData!$AI$4:$AO$94,6,FALSE)</f>
        <v>13427.900438269304</v>
      </c>
      <c r="F53" s="9">
        <f>VLOOKUP($AP53,OWData!$AI$4:$AO$94,7,FALSE)</f>
        <v>14919.881042521447</v>
      </c>
      <c r="G53" s="26"/>
      <c r="AO53">
        <f t="shared" si="1"/>
        <v>49</v>
      </c>
      <c r="AP53">
        <f>IF(ISNUMBER(VLOOKUP($AO53,OWData!$AI$4:$AL$94,2,FALSE)),AO53,AP54)</f>
        <v>49</v>
      </c>
      <c r="AR53" t="s">
        <v>1327</v>
      </c>
      <c r="AU53" t="s">
        <v>1425</v>
      </c>
      <c r="AX53" s="54" t="str">
        <f t="shared" si="2"/>
        <v>Kuwait                10,071  11,936  13,428  14,920</v>
      </c>
    </row>
    <row r="54" spans="1:50" ht="12.75">
      <c r="A54" s="64">
        <f>VLOOKUP(B54,OWData!$B$4:$Q$91,16,FALSE)</f>
        <v>39563</v>
      </c>
      <c r="B54" s="13" t="str">
        <f>VLOOKUP($AO54,OWData!$AI$4:$AL$94,3,FALSE)</f>
        <v>Bulgaria</v>
      </c>
      <c r="C54" s="7">
        <f>VLOOKUP($AP54,OWData!$AI$4:$AO$94,4,FALSE)</f>
        <v>10732.683825478302</v>
      </c>
      <c r="D54" s="8">
        <f>VLOOKUP($AP54,OWData!$AI$4:$AO$94,5,FALSE)</f>
        <v>11977.045312490278</v>
      </c>
      <c r="E54" s="8">
        <f>VLOOKUP($AP54,OWData!$AI$4:$AO$94,6,FALSE)</f>
        <v>13532.49717125525</v>
      </c>
      <c r="F54" s="9">
        <f>VLOOKUP($AP54,OWData!$AI$4:$AO$94,7,FALSE)</f>
        <v>15243.494215896719</v>
      </c>
      <c r="G54" s="26"/>
      <c r="AO54">
        <f t="shared" si="1"/>
        <v>48</v>
      </c>
      <c r="AP54">
        <f>IF(ISNUMBER(VLOOKUP($AO54,OWData!$AI$4:$AL$94,2,FALSE)),AO54,AP55)</f>
        <v>48</v>
      </c>
      <c r="AR54" t="s">
        <v>1167</v>
      </c>
      <c r="AU54" t="s">
        <v>1398</v>
      </c>
      <c r="AX54" s="54" t="str">
        <f t="shared" si="2"/>
        <v>Bulgaria              10,733  11,977  13,532  15,243</v>
      </c>
    </row>
    <row r="55" spans="1:50" ht="12.75">
      <c r="A55" s="64">
        <f>VLOOKUP(B55,OWData!$B$4:$Q$91,16,FALSE)</f>
        <v>39563</v>
      </c>
      <c r="B55" s="13" t="str">
        <f>VLOOKUP($AO55,OWData!$AI$4:$AL$94,3,FALSE)</f>
        <v>Croatia</v>
      </c>
      <c r="C55" s="7">
        <f>VLOOKUP($AP55,OWData!$AI$4:$AO$94,4,FALSE)</f>
        <v>10732.6848254783</v>
      </c>
      <c r="D55" s="8">
        <f>VLOOKUP($AP55,OWData!$AI$4:$AO$94,5,FALSE)</f>
        <v>11977.046312490276</v>
      </c>
      <c r="E55" s="8">
        <f>VLOOKUP($AP55,OWData!$AI$4:$AO$94,6,FALSE)</f>
        <v>13532.498171255249</v>
      </c>
      <c r="F55" s="9">
        <f>VLOOKUP($AP55,OWData!$AI$4:$AO$94,7,FALSE)</f>
        <v>15243.495215896717</v>
      </c>
      <c r="G55" s="26"/>
      <c r="AO55">
        <f t="shared" si="1"/>
        <v>47</v>
      </c>
      <c r="AP55">
        <f>IF(ISNUMBER(VLOOKUP($AO55,OWData!$AI$4:$AL$94,2,FALSE)),AO55,AP56)</f>
        <v>47</v>
      </c>
      <c r="AR55" t="s">
        <v>1279</v>
      </c>
      <c r="AU55" t="s">
        <v>1426</v>
      </c>
      <c r="AX55" s="54" t="str">
        <f t="shared" si="2"/>
        <v>Croatia               10,733  11,977  13,532  15,243</v>
      </c>
    </row>
    <row r="56" spans="1:50" ht="12.75">
      <c r="A56" s="64">
        <f>VLOOKUP(B56,OWData!$B$4:$Q$91,16,FALSE)</f>
        <v>39563</v>
      </c>
      <c r="B56" s="13" t="str">
        <f>VLOOKUP($AO56,OWData!$AI$4:$AL$94,3,FALSE)</f>
        <v>Romania</v>
      </c>
      <c r="C56" s="7">
        <f>VLOOKUP($AP56,OWData!$AI$4:$AO$94,4,FALSE)</f>
        <v>10732.699825478301</v>
      </c>
      <c r="D56" s="8">
        <f>VLOOKUP($AP56,OWData!$AI$4:$AO$94,5,FALSE)</f>
        <v>11977.061312490277</v>
      </c>
      <c r="E56" s="8">
        <f>VLOOKUP($AP56,OWData!$AI$4:$AO$94,6,FALSE)</f>
        <v>13532.51317125525</v>
      </c>
      <c r="F56" s="9">
        <f>VLOOKUP($AP56,OWData!$AI$4:$AO$94,7,FALSE)</f>
        <v>15243.510215896718</v>
      </c>
      <c r="G56" s="26"/>
      <c r="AO56">
        <f t="shared" si="1"/>
        <v>46</v>
      </c>
      <c r="AP56">
        <f>IF(ISNUMBER(VLOOKUP($AO56,OWData!$AI$4:$AL$94,2,FALSE)),AO56,AP57)</f>
        <v>46</v>
      </c>
      <c r="AR56" t="s">
        <v>1251</v>
      </c>
      <c r="AU56" t="s">
        <v>1382</v>
      </c>
      <c r="AX56" s="54" t="str">
        <f t="shared" si="2"/>
        <v>Romania               10,733  11,977  13,533  15,244</v>
      </c>
    </row>
    <row r="57" spans="1:50" ht="12.75">
      <c r="A57" s="64">
        <f>VLOOKUP(B57,OWData!$B$4:$Q$91,16,FALSE)</f>
        <v>39123</v>
      </c>
      <c r="B57" s="13" t="str">
        <f>VLOOKUP($AO57,OWData!$AI$4:$AL$94,3,FALSE)</f>
        <v>Serbia-Montenegro</v>
      </c>
      <c r="C57" s="7">
        <f>VLOOKUP($AP57,OWData!$AI$4:$AO$94,4,FALSE)</f>
        <v>10732.700825478301</v>
      </c>
      <c r="D57" s="8">
        <f>VLOOKUP($AP57,OWData!$AI$4:$AO$94,5,FALSE)</f>
        <v>11977.062312490278</v>
      </c>
      <c r="E57" s="8">
        <f>VLOOKUP($AP57,OWData!$AI$4:$AO$94,6,FALSE)</f>
        <v>13532.51417125525</v>
      </c>
      <c r="F57" s="9">
        <f>VLOOKUP($AP57,OWData!$AI$4:$AO$94,7,FALSE)</f>
        <v>15243.511215896719</v>
      </c>
      <c r="G57" s="26"/>
      <c r="AO57">
        <f t="shared" si="1"/>
        <v>45</v>
      </c>
      <c r="AP57">
        <f>IF(ISNUMBER(VLOOKUP($AO57,OWData!$AI$4:$AL$94,2,FALSE)),AO57,AP58)</f>
        <v>45</v>
      </c>
      <c r="AR57" t="s">
        <v>1168</v>
      </c>
      <c r="AU57" t="s">
        <v>1427</v>
      </c>
      <c r="AX57" s="54" t="str">
        <f t="shared" si="2"/>
        <v>Serbia-Montenegro     10,733  11,977  13,533  15,244</v>
      </c>
    </row>
    <row r="58" spans="1:50" ht="12.75">
      <c r="A58" s="64">
        <f>VLOOKUP(B58,OWData!$B$4:$Q$91,16,FALSE)</f>
        <v>39563</v>
      </c>
      <c r="B58" s="13" t="str">
        <f>VLOOKUP($AO58,OWData!$AI$4:$AL$94,3,FALSE)</f>
        <v>Thailand</v>
      </c>
      <c r="C58" s="7">
        <f>VLOOKUP($AP58,OWData!$AI$4:$AO$94,4,FALSE)</f>
        <v>10567.551455547129</v>
      </c>
      <c r="D58" s="8">
        <f>VLOOKUP($AP58,OWData!$AI$4:$AO$94,5,FALSE)</f>
        <v>12018.498174777971</v>
      </c>
      <c r="E58" s="8">
        <f>VLOOKUP($AP58,OWData!$AI$4:$AO$94,6,FALSE)</f>
        <v>13516.13842773784</v>
      </c>
      <c r="F58" s="9">
        <f>VLOOKUP($AP58,OWData!$AI$4:$AO$94,7,FALSE)</f>
        <v>15070.500355898741</v>
      </c>
      <c r="G58" s="26"/>
      <c r="AO58">
        <f t="shared" si="1"/>
        <v>44</v>
      </c>
      <c r="AP58">
        <f>IF(ISNUMBER(VLOOKUP($AO58,OWData!$AI$4:$AL$94,2,FALSE)),AO58,AP59)</f>
        <v>44</v>
      </c>
      <c r="AR58" t="s">
        <v>1165</v>
      </c>
      <c r="AU58" t="s">
        <v>1383</v>
      </c>
      <c r="AX58" s="54" t="str">
        <f t="shared" si="2"/>
        <v>Thailand              10,568  12,018  13,516  15,071</v>
      </c>
    </row>
    <row r="59" spans="1:50" ht="12.75">
      <c r="A59" s="64">
        <f>VLOOKUP(B59,OWData!$B$4:$Q$91,16,FALSE)</f>
        <v>39563</v>
      </c>
      <c r="B59" s="13" t="str">
        <f>VLOOKUP($AO59,OWData!$AI$4:$AL$94,3,FALSE)</f>
        <v>China</v>
      </c>
      <c r="C59" s="7">
        <f>VLOOKUP($AP59,OWData!$AI$4:$AO$94,4,FALSE)</f>
        <v>10660.922897692362</v>
      </c>
      <c r="D59" s="8">
        <f>VLOOKUP($AP59,OWData!$AI$4:$AO$94,5,FALSE)</f>
        <v>12082.656126241336</v>
      </c>
      <c r="E59" s="8">
        <f>VLOOKUP($AP59,OWData!$AI$4:$AO$94,6,FALSE)</f>
        <v>13893.044066514252</v>
      </c>
      <c r="F59" s="9">
        <f>VLOOKUP($AP59,OWData!$AI$4:$AO$94,7,FALSE)</f>
        <v>15684.85659777095</v>
      </c>
      <c r="G59" s="26"/>
      <c r="AO59">
        <f t="shared" si="1"/>
        <v>43</v>
      </c>
      <c r="AP59">
        <f>IF(ISNUMBER(VLOOKUP($AO59,OWData!$AI$4:$AL$94,2,FALSE)),AO59,AP60)</f>
        <v>43</v>
      </c>
      <c r="AR59" t="s">
        <v>1257</v>
      </c>
      <c r="AU59" t="s">
        <v>1003</v>
      </c>
      <c r="AX59" s="54" t="str">
        <f t="shared" si="2"/>
        <v>China                 10,661  12,083  13,893  15,685</v>
      </c>
    </row>
    <row r="60" spans="1:50" ht="12.75">
      <c r="A60" s="64">
        <f>VLOOKUP(B60,OWData!$B$4:$Q$91,16,FALSE)</f>
        <v>39563</v>
      </c>
      <c r="B60" s="13" t="str">
        <f>VLOOKUP($AO60,OWData!$AI$4:$AL$94,3,FALSE)</f>
        <v>Bahrain</v>
      </c>
      <c r="C60" s="7">
        <f>VLOOKUP($AP60,OWData!$AI$4:$AO$94,4,FALSE)</f>
        <v>10607.331977194379</v>
      </c>
      <c r="D60" s="8">
        <f>VLOOKUP($AP60,OWData!$AI$4:$AO$94,5,FALSE)</f>
        <v>12105.608296473085</v>
      </c>
      <c r="E60" s="8">
        <f>VLOOKUP($AP60,OWData!$AI$4:$AO$94,6,FALSE)</f>
        <v>14253.579656854947</v>
      </c>
      <c r="F60" s="9">
        <f>VLOOKUP($AP60,OWData!$AI$4:$AO$94,7,FALSE)</f>
        <v>15910.964965791569</v>
      </c>
      <c r="G60" s="26"/>
      <c r="AO60">
        <f t="shared" si="1"/>
        <v>42</v>
      </c>
      <c r="AP60">
        <f>IF(ISNUMBER(VLOOKUP($AO60,OWData!$AI$4:$AL$94,2,FALSE)),AO60,AP61)</f>
        <v>42</v>
      </c>
      <c r="AU60" t="s">
        <v>132</v>
      </c>
      <c r="AX60" s="54" t="str">
        <f t="shared" si="2"/>
        <v>Bahrain               10,607  12,106  14,254  15,911</v>
      </c>
    </row>
    <row r="61" spans="1:50" ht="12.75">
      <c r="A61" s="64">
        <f>VLOOKUP(B61,OWData!$B$4:$Q$91,16,FALSE)</f>
        <v>39563</v>
      </c>
      <c r="B61" s="13" t="str">
        <f>VLOOKUP($AO61,OWData!$AI$4:$AL$94,3,FALSE)</f>
        <v>Denmark</v>
      </c>
      <c r="C61" s="7">
        <f>VLOOKUP($AP61,OWData!$AI$4:$AO$94,4,FALSE)</f>
        <v>10788.070244902201</v>
      </c>
      <c r="D61" s="8">
        <f>VLOOKUP($AP61,OWData!$AI$4:$AO$94,5,FALSE)</f>
        <v>12157.876310295369</v>
      </c>
      <c r="E61" s="8">
        <f>VLOOKUP($AP61,OWData!$AI$4:$AO$94,6,FALSE)</f>
        <v>14030.70675782078</v>
      </c>
      <c r="F61" s="9">
        <f>VLOOKUP($AP61,OWData!$AI$4:$AO$94,7,FALSE)</f>
        <v>15548.094356814732</v>
      </c>
      <c r="G61" s="26"/>
      <c r="AO61">
        <f t="shared" si="1"/>
        <v>41</v>
      </c>
      <c r="AP61">
        <f>IF(ISNUMBER(VLOOKUP($AO61,OWData!$AI$4:$AL$94,2,FALSE)),AO61,AP62)</f>
        <v>41</v>
      </c>
      <c r="AU61" t="s">
        <v>131</v>
      </c>
      <c r="AX61" s="54" t="str">
        <f t="shared" si="2"/>
        <v>Denmark               10,788  12,158  14,031  15,548</v>
      </c>
    </row>
    <row r="62" spans="1:50" ht="12.75">
      <c r="A62" s="64">
        <f>VLOOKUP(B62,OWData!$B$4:$Q$91,16,FALSE)</f>
        <v>39563</v>
      </c>
      <c r="B62" s="13" t="str">
        <f>VLOOKUP($AO62,OWData!$AI$4:$AL$94,3,FALSE)</f>
        <v>Estonia</v>
      </c>
      <c r="C62" s="7">
        <f>VLOOKUP($AP62,OWData!$AI$4:$AO$94,4,FALSE)</f>
        <v>11056.91099608933</v>
      </c>
      <c r="D62" s="8">
        <f>VLOOKUP($AP62,OWData!$AI$4:$AO$94,5,FALSE)</f>
        <v>12195.274753916148</v>
      </c>
      <c r="E62" s="8">
        <f>VLOOKUP($AP62,OWData!$AI$4:$AO$94,6,FALSE)</f>
        <v>13660.434093921822</v>
      </c>
      <c r="F62" s="9">
        <f>VLOOKUP($AP62,OWData!$AI$4:$AO$94,7,FALSE)</f>
        <v>15443.096250736337</v>
      </c>
      <c r="G62" s="26"/>
      <c r="AO62">
        <f t="shared" si="1"/>
        <v>40</v>
      </c>
      <c r="AP62">
        <f>IF(ISNUMBER(VLOOKUP($AO62,OWData!$AI$4:$AL$94,2,FALSE)),AO62,AP63)</f>
        <v>40</v>
      </c>
      <c r="AU62" t="s">
        <v>1384</v>
      </c>
      <c r="AX62" s="54" t="str">
        <f t="shared" si="2"/>
        <v>Estonia               11,057  12,195  13,660  15,443</v>
      </c>
    </row>
    <row r="63" spans="1:50" ht="12.75">
      <c r="A63" s="64">
        <f>VLOOKUP(B63,OWData!$B$4:$Q$91,16,FALSE)</f>
        <v>39563</v>
      </c>
      <c r="B63" s="13" t="str">
        <f>VLOOKUP($AO63,OWData!$AI$4:$AL$94,3,FALSE)</f>
        <v>Hong Kong</v>
      </c>
      <c r="C63" s="7">
        <f>VLOOKUP($AP63,OWData!$AI$4:$AO$94,4,FALSE)</f>
        <v>10931.11621690148</v>
      </c>
      <c r="D63" s="8">
        <f>VLOOKUP($AP63,OWData!$AI$4:$AO$94,5,FALSE)</f>
        <v>12265.57871080658</v>
      </c>
      <c r="E63" s="8">
        <f>VLOOKUP($AP63,OWData!$AI$4:$AO$94,6,FALSE)</f>
        <v>13741.18627618241</v>
      </c>
      <c r="F63" s="9">
        <f>VLOOKUP($AP63,OWData!$AI$4:$AO$94,7,FALSE)</f>
        <v>15169.317772063541</v>
      </c>
      <c r="G63" s="26"/>
      <c r="AO63">
        <f t="shared" si="1"/>
        <v>39</v>
      </c>
      <c r="AP63">
        <f>IF(ISNUMBER(VLOOKUP($AO63,OWData!$AI$4:$AL$94,2,FALSE)),AO63,AP64)</f>
        <v>39</v>
      </c>
      <c r="AU63" t="s">
        <v>588</v>
      </c>
      <c r="AX63" s="54" t="str">
        <f t="shared" si="2"/>
        <v>Hong Kong             10,931  12,266  13,741  15,169</v>
      </c>
    </row>
    <row r="64" spans="1:50" ht="12.75">
      <c r="A64" s="64">
        <f>VLOOKUP(B64,OWData!$B$4:$Q$91,16,FALSE)</f>
        <v>39563</v>
      </c>
      <c r="B64" s="13" t="str">
        <f>VLOOKUP($AO64,OWData!$AI$4:$AL$94,3,FALSE)</f>
        <v>Bangladesh</v>
      </c>
      <c r="C64" s="7">
        <f>VLOOKUP($AP64,OWData!$AI$4:$AO$94,4,FALSE)</f>
        <v>10968.2148</v>
      </c>
      <c r="D64" s="8">
        <f>VLOOKUP($AP64,OWData!$AI$4:$AO$94,5,FALSE)</f>
        <v>12270.958</v>
      </c>
      <c r="E64" s="8">
        <f>VLOOKUP($AP64,OWData!$AI$4:$AO$94,6,FALSE)</f>
        <v>14107.202</v>
      </c>
      <c r="F64" s="9">
        <f>VLOOKUP($AP64,OWData!$AI$4:$AO$94,7,FALSE)</f>
        <v>15757.393199999999</v>
      </c>
      <c r="G64" s="26"/>
      <c r="AO64">
        <f t="shared" si="1"/>
        <v>38</v>
      </c>
      <c r="AP64">
        <f>IF(ISNUMBER(VLOOKUP($AO64,OWData!$AI$4:$AL$94,2,FALSE)),AO64,AP65)</f>
        <v>38</v>
      </c>
      <c r="AU64" t="s">
        <v>1004</v>
      </c>
      <c r="AX64" s="54" t="str">
        <f t="shared" si="2"/>
        <v>Bangladesh            10,968  12,271  14,107  15,757</v>
      </c>
    </row>
    <row r="65" spans="1:50" ht="12.75">
      <c r="A65" s="64">
        <f>VLOOKUP(B65,OWData!$B$4:$Q$91,16,FALSE)</f>
        <v>39563</v>
      </c>
      <c r="B65" s="13" t="str">
        <f>VLOOKUP($AO65,OWData!$AI$4:$AL$94,3,FALSE)</f>
        <v>United Arab Emirates</v>
      </c>
      <c r="C65" s="7">
        <f>VLOOKUP($AP65,OWData!$AI$4:$AO$94,4,FALSE)</f>
        <v>11056.469020899096</v>
      </c>
      <c r="D65" s="8">
        <f>VLOOKUP($AP65,OWData!$AI$4:$AO$94,5,FALSE)</f>
        <v>12281.025459344726</v>
      </c>
      <c r="E65" s="8">
        <f>VLOOKUP($AP65,OWData!$AI$4:$AO$94,6,FALSE)</f>
        <v>13845.736464025253</v>
      </c>
      <c r="F65" s="9">
        <f>VLOOKUP($AP65,OWData!$AI$4:$AO$94,7,FALSE)</f>
        <v>15410.44746870578</v>
      </c>
      <c r="G65" s="26"/>
      <c r="AO65">
        <f t="shared" si="1"/>
        <v>37</v>
      </c>
      <c r="AP65">
        <f>IF(ISNUMBER(VLOOKUP($AO65,OWData!$AI$4:$AL$94,2,FALSE)),AO65,AP66)</f>
        <v>37</v>
      </c>
      <c r="AU65" t="s">
        <v>1023</v>
      </c>
      <c r="AX65" s="54" t="str">
        <f t="shared" si="2"/>
        <v>United Arab Emirates  11,056  12,281  13,846  15,410</v>
      </c>
    </row>
    <row r="66" spans="1:50" ht="12.75">
      <c r="A66" s="64">
        <f>VLOOKUP(B66,OWData!$B$4:$Q$91,16,FALSE)</f>
        <v>39563</v>
      </c>
      <c r="B66" s="13" t="str">
        <f>VLOOKUP($AO66,OWData!$AI$4:$AL$94,3,FALSE)</f>
        <v>Lithuania</v>
      </c>
      <c r="C66" s="7">
        <f>VLOOKUP($AP66,OWData!$AI$4:$AO$94,4,FALSE)</f>
        <v>10991.945188266473</v>
      </c>
      <c r="D66" s="8">
        <f>VLOOKUP($AP66,OWData!$AI$4:$AO$94,5,FALSE)</f>
        <v>12285.687607744483</v>
      </c>
      <c r="E66" s="8">
        <f>VLOOKUP($AP66,OWData!$AI$4:$AO$94,6,FALSE)</f>
        <v>14226.3012369615</v>
      </c>
      <c r="F66" s="9">
        <f>VLOOKUP($AP66,OWData!$AI$4:$AO$94,7,FALSE)</f>
        <v>16148.946221463544</v>
      </c>
      <c r="G66" s="26"/>
      <c r="AO66">
        <f t="shared" si="1"/>
        <v>36</v>
      </c>
      <c r="AP66">
        <f>IF(ISNUMBER(VLOOKUP($AO66,OWData!$AI$4:$AL$94,2,FALSE)),AO66,AP67)</f>
        <v>36</v>
      </c>
      <c r="AU66" t="s">
        <v>1399</v>
      </c>
      <c r="AX66" s="54" t="str">
        <f t="shared" si="2"/>
        <v>Lithuania             10,992  12,286  14,226  16,149</v>
      </c>
    </row>
    <row r="67" spans="1:50" ht="12.75">
      <c r="A67" s="64">
        <f>VLOOKUP(B67,OWData!$B$4:$Q$91,16,FALSE)</f>
        <v>39563</v>
      </c>
      <c r="B67" s="13" t="str">
        <f>VLOOKUP($AO67,OWData!$AI$4:$AL$94,3,FALSE)</f>
        <v>Latvia</v>
      </c>
      <c r="C67" s="7">
        <f>VLOOKUP($AP67,OWData!$AI$4:$AO$94,4,FALSE)</f>
        <v>10859.511467311124</v>
      </c>
      <c r="D67" s="8">
        <f>VLOOKUP($AP67,OWData!$AI$4:$AO$94,5,FALSE)</f>
        <v>12539.76230052599</v>
      </c>
      <c r="E67" s="8">
        <f>VLOOKUP($AP67,OWData!$AI$4:$AO$94,6,FALSE)</f>
        <v>14219.025912334737</v>
      </c>
      <c r="F67" s="9">
        <f>VLOOKUP($AP67,OWData!$AI$4:$AO$94,7,FALSE)</f>
        <v>15451.07822717149</v>
      </c>
      <c r="G67" s="26"/>
      <c r="AO67">
        <f t="shared" si="1"/>
        <v>35</v>
      </c>
      <c r="AP67">
        <f>IF(ISNUMBER(VLOOKUP($AO67,OWData!$AI$4:$AL$94,2,FALSE)),AO67,AP68)</f>
        <v>35</v>
      </c>
      <c r="AU67" t="s">
        <v>1400</v>
      </c>
      <c r="AX67" s="54" t="str">
        <f t="shared" si="2"/>
        <v>Latvia                10,860  12,540  14,219  15,451</v>
      </c>
    </row>
    <row r="68" spans="1:50" ht="12.75">
      <c r="A68" s="64">
        <f>VLOOKUP(B68,OWData!$B$4:$Q$91,16,FALSE)</f>
        <v>39563</v>
      </c>
      <c r="B68" s="13" t="str">
        <f>VLOOKUP($AO68,OWData!$AI$4:$AL$94,3,FALSE)</f>
        <v>Oman</v>
      </c>
      <c r="C68" s="7">
        <f>VLOOKUP($AP68,OWData!$AI$4:$AO$94,4,FALSE)</f>
        <v>10994.399839200822</v>
      </c>
      <c r="D68" s="8">
        <f>VLOOKUP($AP68,OWData!$AI$4:$AO$94,5,FALSE)</f>
        <v>12610.830921909666</v>
      </c>
      <c r="E68" s="8">
        <f>VLOOKUP($AP68,OWData!$AI$4:$AO$94,6,FALSE)</f>
        <v>13904.573359641514</v>
      </c>
      <c r="F68" s="9">
        <f>VLOOKUP($AP68,OWData!$AI$4:$AO$94,7,FALSE)</f>
        <v>16452.220130787064</v>
      </c>
      <c r="G68" s="26"/>
      <c r="AO68">
        <f t="shared" si="1"/>
        <v>34</v>
      </c>
      <c r="AP68">
        <f>IF(ISNUMBER(VLOOKUP($AO68,OWData!$AI$4:$AL$94,2,FALSE)),AO68,AP69)</f>
        <v>34</v>
      </c>
      <c r="AU68" t="s">
        <v>1005</v>
      </c>
      <c r="AX68" s="54" t="str">
        <f t="shared" si="2"/>
        <v>Oman                  10,994  12,611  13,905  16,452</v>
      </c>
    </row>
    <row r="69" spans="1:50" ht="12.75">
      <c r="A69" s="64">
        <f>VLOOKUP(B69,OWData!$B$4:$Q$91,16,FALSE)</f>
        <v>39563</v>
      </c>
      <c r="B69" s="13" t="str">
        <f>VLOOKUP($AO69,OWData!$AI$4:$AL$94,3,FALSE)</f>
        <v>India</v>
      </c>
      <c r="C69" s="7">
        <f>VLOOKUP($AP69,OWData!$AI$4:$AO$94,4,FALSE)</f>
        <v>11168.920198222662</v>
      </c>
      <c r="D69" s="8">
        <f>VLOOKUP($AP69,OWData!$AI$4:$AO$94,5,FALSE)</f>
        <v>12664.600277215503</v>
      </c>
      <c r="E69" s="8">
        <f>VLOOKUP($AP69,OWData!$AI$4:$AO$94,6,FALSE)</f>
        <v>14564.13125722044</v>
      </c>
      <c r="F69" s="9">
        <f>VLOOKUP($AP69,OWData!$AI$4:$AO$94,7,FALSE)</f>
        <v>16748.777023697854</v>
      </c>
      <c r="G69" s="26"/>
      <c r="AO69">
        <f t="shared" si="1"/>
        <v>33</v>
      </c>
      <c r="AP69">
        <f>IF(ISNUMBER(VLOOKUP($AO69,OWData!$AI$4:$AL$94,2,FALSE)),AO69,AP70)</f>
        <v>33</v>
      </c>
      <c r="AU69" t="s">
        <v>1006</v>
      </c>
      <c r="AX69" s="54" t="str">
        <f t="shared" si="2"/>
        <v>India                 11,169  12,665  14,564  16,749</v>
      </c>
    </row>
    <row r="70" spans="1:50" ht="12.75">
      <c r="A70" s="64">
        <f>VLOOKUP(B70,OWData!$B$4:$Q$91,16,FALSE)</f>
        <v>39563</v>
      </c>
      <c r="B70" s="13" t="str">
        <f>VLOOKUP($AO70,OWData!$AI$4:$AL$94,3,FALSE)</f>
        <v>Norway</v>
      </c>
      <c r="C70" s="7">
        <f>VLOOKUP($AP70,OWData!$AI$4:$AO$94,4,FALSE)</f>
        <v>11337.862129843177</v>
      </c>
      <c r="D70" s="8">
        <f>VLOOKUP($AP70,OWData!$AI$4:$AO$94,5,FALSE)</f>
        <v>12911.956144761829</v>
      </c>
      <c r="E70" s="8">
        <f>VLOOKUP($AP70,OWData!$AI$4:$AO$94,6,FALSE)</f>
        <v>14636.802944691346</v>
      </c>
      <c r="F70" s="9">
        <f>VLOOKUP($AP70,OWData!$AI$4:$AO$94,7,FALSE)</f>
        <v>16330.324490592633</v>
      </c>
      <c r="G70" s="26"/>
      <c r="AO70">
        <f t="shared" si="1"/>
        <v>32</v>
      </c>
      <c r="AP70">
        <f>IF(ISNUMBER(VLOOKUP($AO70,OWData!$AI$4:$AL$94,2,FALSE)),AO70,AP71)</f>
        <v>32</v>
      </c>
      <c r="AU70" t="s">
        <v>1024</v>
      </c>
      <c r="AX70" s="54" t="str">
        <f t="shared" si="2"/>
        <v>Norway                11,338  12,912  14,637  16,330</v>
      </c>
    </row>
    <row r="71" spans="1:50" ht="12.75">
      <c r="A71" s="64">
        <f>VLOOKUP(B71,OWData!$B$4:$Q$91,16,FALSE)</f>
        <v>39563</v>
      </c>
      <c r="B71" s="13" t="str">
        <f>VLOOKUP($AO71,OWData!$AI$4:$AL$94,3,FALSE)</f>
        <v>Switzerland</v>
      </c>
      <c r="C71" s="7">
        <f>VLOOKUP($AP71,OWData!$AI$4:$AO$94,4,FALSE)</f>
        <v>11334.248786187687</v>
      </c>
      <c r="D71" s="8">
        <f>VLOOKUP($AP71,OWData!$AI$4:$AO$94,5,FALSE)</f>
        <v>13015.163203630776</v>
      </c>
      <c r="E71" s="8">
        <f>VLOOKUP($AP71,OWData!$AI$4:$AO$94,6,FALSE)</f>
        <v>14984.234378349824</v>
      </c>
      <c r="F71" s="9">
        <f>VLOOKUP($AP71,OWData!$AI$4:$AO$94,7,FALSE)</f>
        <v>16425.018164729612</v>
      </c>
      <c r="G71" s="26"/>
      <c r="AO71">
        <f t="shared" si="1"/>
        <v>31</v>
      </c>
      <c r="AP71">
        <f>IF(ISNUMBER(VLOOKUP($AO71,OWData!$AI$4:$AL$94,2,FALSE)),AO71,AP72)</f>
        <v>31</v>
      </c>
      <c r="AU71" t="s">
        <v>1007</v>
      </c>
      <c r="AX71" s="54" t="str">
        <f t="shared" si="2"/>
        <v>Switzerland           11,334  13,015  14,984  16,425</v>
      </c>
    </row>
    <row r="72" spans="1:50" ht="12.75">
      <c r="A72" s="64">
        <f>VLOOKUP(B72,OWData!$B$4:$Q$91,16,FALSE)</f>
        <v>39563</v>
      </c>
      <c r="B72" s="13" t="str">
        <f>VLOOKUP($AO72,OWData!$AI$4:$AL$94,3,FALSE)</f>
        <v>Russia</v>
      </c>
      <c r="C72" s="7">
        <f>VLOOKUP($AP72,OWData!$AI$4:$AO$94,4,FALSE)</f>
        <v>11425.8448</v>
      </c>
      <c r="D72" s="8">
        <f>VLOOKUP($AP72,OWData!$AI$4:$AO$94,5,FALSE)</f>
        <v>13259.6092</v>
      </c>
      <c r="E72" s="8">
        <f>VLOOKUP($AP72,OWData!$AI$4:$AO$94,6,FALSE)</f>
        <v>15375.491200000002</v>
      </c>
      <c r="F72" s="9">
        <f>VLOOKUP($AP72,OWData!$AI$4:$AO$94,7,FALSE)</f>
        <v>16786.0792</v>
      </c>
      <c r="G72" s="26"/>
      <c r="AO72">
        <f t="shared" si="1"/>
        <v>30</v>
      </c>
      <c r="AP72">
        <f>IF(ISNUMBER(VLOOKUP($AO72,OWData!$AI$4:$AL$94,2,FALSE)),AO72,AP73)</f>
        <v>30</v>
      </c>
      <c r="AU72" t="s">
        <v>1008</v>
      </c>
      <c r="AX72" s="54" t="str">
        <f t="shared" si="2"/>
        <v>Russia                11,426  13,260  15,375  16,786</v>
      </c>
    </row>
    <row r="73" spans="1:50" ht="12.75">
      <c r="A73" s="64">
        <f>VLOOKUP(B73,OWData!$B$4:$Q$91,16,FALSE)</f>
        <v>39563</v>
      </c>
      <c r="B73" s="13" t="str">
        <f>VLOOKUP($AO73,OWData!$AI$4:$AL$94,3,FALSE)</f>
        <v>Canada</v>
      </c>
      <c r="C73" s="7">
        <f>VLOOKUP($AP73,OWData!$AI$4:$AO$94,4,FALSE)</f>
        <v>12550.71429716375</v>
      </c>
      <c r="D73" s="8">
        <f>VLOOKUP($AP73,OWData!$AI$4:$AO$94,5,FALSE)</f>
        <v>13538.954241822314</v>
      </c>
      <c r="E73" s="8">
        <f>VLOOKUP($AP73,OWData!$AI$4:$AO$94,6,FALSE)</f>
        <v>15614.258125605296</v>
      </c>
      <c r="F73" s="9">
        <f>VLOOKUP($AP73,OWData!$AI$4:$AO$94,7,FALSE)</f>
        <v>18282.505976183416</v>
      </c>
      <c r="G73" s="26"/>
      <c r="AO73">
        <f t="shared" si="1"/>
        <v>29</v>
      </c>
      <c r="AP73">
        <f>IF(ISNUMBER(VLOOKUP($AO73,OWData!$AI$4:$AL$94,2,FALSE)),AO73,AP74)</f>
        <v>29</v>
      </c>
      <c r="AU73" t="s">
        <v>1025</v>
      </c>
      <c r="AX73" s="54" t="str">
        <f t="shared" si="2"/>
        <v>Canada                12,551  13,539  15,614  18,283</v>
      </c>
    </row>
    <row r="74" spans="1:50" ht="12.75">
      <c r="A74" s="64">
        <f>VLOOKUP(B74,OWData!$B$4:$Q$91,16,FALSE)</f>
        <v>39563</v>
      </c>
      <c r="B74" s="13" t="str">
        <f>VLOOKUP($AO74,OWData!$AI$4:$AL$94,3,FALSE)</f>
        <v>Malaysia</v>
      </c>
      <c r="C74" s="7">
        <f>VLOOKUP($AP74,OWData!$AI$4:$AO$94,4,FALSE)</f>
        <v>12648.752819169991</v>
      </c>
      <c r="D74" s="8">
        <f>VLOOKUP($AP74,OWData!$AI$4:$AO$94,5,FALSE)</f>
        <v>13727.889509817473</v>
      </c>
      <c r="E74" s="8">
        <f>VLOOKUP($AP74,OWData!$AI$4:$AO$94,6,FALSE)</f>
        <v>15787.202757908955</v>
      </c>
      <c r="F74" s="9">
        <f>VLOOKUP($AP74,OWData!$AI$4:$AO$94,7,FALSE)</f>
        <v>18067.369890578368</v>
      </c>
      <c r="G74" s="26"/>
      <c r="AO74">
        <f t="shared" si="1"/>
        <v>28</v>
      </c>
      <c r="AP74">
        <f>IF(ISNUMBER(VLOOKUP($AO74,OWData!$AI$4:$AL$94,2,FALSE)),AO74,AP75)</f>
        <v>28</v>
      </c>
      <c r="AU74" t="s">
        <v>288</v>
      </c>
      <c r="AX74" s="54" t="str">
        <f t="shared" si="2"/>
        <v>Malaysia              12,649  13,728  15,787  18,067</v>
      </c>
    </row>
    <row r="75" spans="1:50" ht="12.75">
      <c r="A75" s="64">
        <f>VLOOKUP(B75,OWData!$B$4:$Q$91,16,FALSE)</f>
        <v>39563</v>
      </c>
      <c r="B75" s="13" t="str">
        <f>VLOOKUP($AO75,OWData!$AI$4:$AL$94,3,FALSE)</f>
        <v>Singapore</v>
      </c>
      <c r="C75" s="7">
        <f>VLOOKUP($AP75,OWData!$AI$4:$AO$94,4,FALSE)</f>
        <v>12629.802584897328</v>
      </c>
      <c r="D75" s="8">
        <f>VLOOKUP($AP75,OWData!$AI$4:$AO$94,5,FALSE)</f>
        <v>13751.462995584014</v>
      </c>
      <c r="E75" s="8">
        <f>VLOOKUP($AP75,OWData!$AI$4:$AO$94,6,FALSE)</f>
        <v>15818.144382203578</v>
      </c>
      <c r="F75" s="9">
        <f>VLOOKUP($AP75,OWData!$AI$4:$AO$94,7,FALSE)</f>
        <v>18186.58480319423</v>
      </c>
      <c r="G75" s="26"/>
      <c r="AO75">
        <f t="shared" si="1"/>
        <v>27</v>
      </c>
      <c r="AP75">
        <f>IF(ISNUMBER(VLOOKUP($AO75,OWData!$AI$4:$AL$94,2,FALSE)),AO75,AP76)</f>
        <v>27</v>
      </c>
      <c r="AU75" t="s">
        <v>1385</v>
      </c>
      <c r="AX75" s="54" t="str">
        <f t="shared" si="2"/>
        <v>Singapore             12,630  13,751  15,818  18,187</v>
      </c>
    </row>
    <row r="76" spans="1:50" ht="12.75">
      <c r="A76" s="64">
        <f>VLOOKUP(B76,OWData!$B$4:$Q$91,16,FALSE)</f>
        <v>39123</v>
      </c>
      <c r="B76" s="13" t="str">
        <f>VLOOKUP($AO76,OWData!$AI$4:$AL$94,3,FALSE)</f>
        <v>Albania</v>
      </c>
      <c r="C76" s="7">
        <f>VLOOKUP($AP76,OWData!$AI$4:$AO$94,4,FALSE)</f>
        <v>11977.044312490278</v>
      </c>
      <c r="D76" s="8">
        <f>VLOOKUP($AP76,OWData!$AI$4:$AO$94,5,FALSE)</f>
        <v>13765.813950069994</v>
      </c>
      <c r="E76" s="8">
        <f>VLOOKUP($AP76,OWData!$AI$4:$AO$94,6,FALSE)</f>
        <v>16021.219145279203</v>
      </c>
      <c r="F76" s="9">
        <f>VLOOKUP($AP76,OWData!$AI$4:$AO$94,7,FALSE)</f>
        <v>17110.03544641468</v>
      </c>
      <c r="G76" s="26"/>
      <c r="AO76">
        <f t="shared" si="1"/>
        <v>26</v>
      </c>
      <c r="AP76">
        <f>IF(ISNUMBER(VLOOKUP($AO76,OWData!$AI$4:$AL$94,2,FALSE)),AO76,AP77)</f>
        <v>26</v>
      </c>
      <c r="AU76" t="s">
        <v>1401</v>
      </c>
      <c r="AX76" s="54" t="str">
        <f t="shared" si="2"/>
        <v>Albania               11,977  13,766  16,021  17,110</v>
      </c>
    </row>
    <row r="77" spans="1:50" ht="12.75">
      <c r="A77" s="64">
        <f>VLOOKUP(B77,OWData!$B$4:$Q$91,16,FALSE)</f>
        <v>39563</v>
      </c>
      <c r="B77" s="13" t="str">
        <f>VLOOKUP($AO77,OWData!$AI$4:$AL$94,3,FALSE)</f>
        <v>Australia Basic</v>
      </c>
      <c r="C77" s="7">
        <f>VLOOKUP($AP77,OWData!$AI$4:$AO$94,4,FALSE)</f>
      </c>
      <c r="D77" s="8">
        <f>VLOOKUP($AP77,OWData!$AI$4:$AO$94,5,FALSE)</f>
        <v>13886.712274092146</v>
      </c>
      <c r="E77" s="8">
        <f>VLOOKUP($AP77,OWData!$AI$4:$AO$94,6,FALSE)</f>
        <v>14918.897692127239</v>
      </c>
      <c r="F77" s="9">
        <f>VLOOKUP($AP77,OWData!$AI$4:$AO$94,7,FALSE)</f>
        <v>15951.083110162333</v>
      </c>
      <c r="G77" s="26"/>
      <c r="AO77">
        <f t="shared" si="1"/>
        <v>25</v>
      </c>
      <c r="AP77">
        <f>IF(ISNUMBER(VLOOKUP($AO77,OWData!$AI$4:$AL$94,2,FALSE)),AO77,AP78)</f>
        <v>25</v>
      </c>
      <c r="AU77" t="s">
        <v>1221</v>
      </c>
      <c r="AX77" s="54" t="str">
        <f t="shared" si="2"/>
        <v>Australia Basic               13,887  14,919  15,951</v>
      </c>
    </row>
    <row r="78" spans="1:50" ht="12.75">
      <c r="A78" s="64">
        <f>VLOOKUP(B78,OWData!$B$4:$Q$91,16,FALSE)</f>
        <v>39563</v>
      </c>
      <c r="B78" s="13" t="str">
        <f>VLOOKUP($AO78,OWData!$AI$4:$AL$94,3,FALSE)</f>
        <v>Australia Peak</v>
      </c>
      <c r="C78" s="7">
        <f>VLOOKUP($AP78,OWData!$AI$4:$AO$94,4,FALSE)</f>
      </c>
      <c r="D78" s="8">
        <f>VLOOKUP($AP78,OWData!$AI$4:$AO$94,5,FALSE)</f>
        <v>13886.712274092146</v>
      </c>
      <c r="E78" s="8">
        <f>VLOOKUP($AP78,OWData!$AI$4:$AO$94,6,FALSE)</f>
        <v>14918.897692127239</v>
      </c>
      <c r="F78" s="9">
        <f>VLOOKUP($AP78,OWData!$AI$4:$AO$94,7,FALSE)</f>
        <v>15951.083110162333</v>
      </c>
      <c r="G78" s="26"/>
      <c r="AO78">
        <f aca="true" t="shared" si="3" ref="AO78:AO101">AO77-1</f>
        <v>24</v>
      </c>
      <c r="AP78">
        <f>IF(ISNUMBER(VLOOKUP($AO78,OWData!$AI$4:$AL$94,2,FALSE)),AO78,AP79)</f>
        <v>24</v>
      </c>
      <c r="AU78" t="s">
        <v>289</v>
      </c>
      <c r="AX78" s="54" t="str">
        <f t="shared" si="2"/>
        <v>Australia Peak                13,887  14,919  15,951</v>
      </c>
    </row>
    <row r="79" spans="1:50" ht="12.75">
      <c r="A79" s="64">
        <f>VLOOKUP(B79,OWData!$B$4:$Q$91,16,FALSE)</f>
        <v>39563</v>
      </c>
      <c r="B79" s="13" t="str">
        <f>VLOOKUP($AO79,OWData!$AI$4:$AL$94,3,FALSE)</f>
        <v>Austria</v>
      </c>
      <c r="C79" s="7">
        <f>VLOOKUP($AP79,OWData!$AI$4:$AO$94,4,FALSE)</f>
        <v>12753.214790013999</v>
      </c>
      <c r="D79" s="8">
        <f>VLOOKUP($AP79,OWData!$AI$4:$AO$94,5,FALSE)</f>
        <v>14153.121462902473</v>
      </c>
      <c r="E79" s="8">
        <f>VLOOKUP($AP79,OWData!$AI$4:$AO$94,6,FALSE)</f>
        <v>16019.663693420438</v>
      </c>
      <c r="F79" s="9">
        <f>VLOOKUP($AP79,OWData!$AI$4:$AO$94,7,FALSE)</f>
        <v>17886.205923938403</v>
      </c>
      <c r="G79" s="26"/>
      <c r="AO79">
        <f t="shared" si="3"/>
        <v>23</v>
      </c>
      <c r="AP79">
        <f>IF(ISNUMBER(VLOOKUP($AO79,OWData!$AI$4:$AL$94,2,FALSE)),AO79,AP80)</f>
        <v>23</v>
      </c>
      <c r="AU79" t="s">
        <v>1386</v>
      </c>
      <c r="AX79" s="54" t="str">
        <f t="shared" si="2"/>
        <v>Austria               12,753  14,153  16,020  17,886</v>
      </c>
    </row>
    <row r="80" spans="1:50" ht="12.75">
      <c r="A80" s="64">
        <f>VLOOKUP(B80,OWData!$B$4:$Q$91,16,FALSE)</f>
        <v>39563</v>
      </c>
      <c r="B80" s="13" t="str">
        <f>VLOOKUP($AO80,OWData!$AI$4:$AL$94,3,FALSE)</f>
        <v>Belgium</v>
      </c>
      <c r="C80" s="7">
        <f>VLOOKUP($AP80,OWData!$AI$4:$AO$94,4,FALSE)</f>
        <v>12753.215790014</v>
      </c>
      <c r="D80" s="8">
        <f>VLOOKUP($AP80,OWData!$AI$4:$AO$94,5,FALSE)</f>
        <v>14153.122462902473</v>
      </c>
      <c r="E80" s="8">
        <f>VLOOKUP($AP80,OWData!$AI$4:$AO$94,6,FALSE)</f>
        <v>16019.664693420438</v>
      </c>
      <c r="F80" s="9">
        <f>VLOOKUP($AP80,OWData!$AI$4:$AO$94,7,FALSE)</f>
        <v>17886.206923938404</v>
      </c>
      <c r="G80" s="26"/>
      <c r="AO80">
        <f t="shared" si="3"/>
        <v>22</v>
      </c>
      <c r="AP80">
        <f>IF(ISNUMBER(VLOOKUP($AO80,OWData!$AI$4:$AL$94,2,FALSE)),AO80,AP81)</f>
        <v>22</v>
      </c>
      <c r="AU80" t="s">
        <v>1031</v>
      </c>
      <c r="AX80" s="54" t="str">
        <f t="shared" si="2"/>
        <v>Belgium               12,753  14,153  16,020  17,886</v>
      </c>
    </row>
    <row r="81" spans="1:50" ht="12.75">
      <c r="A81" s="64">
        <f>VLOOKUP(B81,OWData!$B$4:$Q$91,16,FALSE)</f>
        <v>39563</v>
      </c>
      <c r="B81" s="13" t="str">
        <f>VLOOKUP($AO81,OWData!$AI$4:$AL$94,3,FALSE)</f>
        <v>Finland</v>
      </c>
      <c r="C81" s="7">
        <f>VLOOKUP($AP81,OWData!$AI$4:$AO$94,4,FALSE)</f>
        <v>12753.219790013998</v>
      </c>
      <c r="D81" s="8">
        <f>VLOOKUP($AP81,OWData!$AI$4:$AO$94,5,FALSE)</f>
        <v>14153.126462902472</v>
      </c>
      <c r="E81" s="8">
        <f>VLOOKUP($AP81,OWData!$AI$4:$AO$94,6,FALSE)</f>
        <v>16019.668693420437</v>
      </c>
      <c r="F81" s="9">
        <f>VLOOKUP($AP81,OWData!$AI$4:$AO$94,7,FALSE)</f>
        <v>17886.210923938404</v>
      </c>
      <c r="G81" s="26"/>
      <c r="AO81">
        <f t="shared" si="3"/>
        <v>21</v>
      </c>
      <c r="AP81">
        <f>IF(ISNUMBER(VLOOKUP($AO81,OWData!$AI$4:$AL$94,2,FALSE)),AO81,AP82)</f>
        <v>21</v>
      </c>
      <c r="AU81" t="s">
        <v>1009</v>
      </c>
      <c r="AX81" s="54" t="str">
        <f t="shared" si="2"/>
        <v>Finland               12,753  14,153  16,020  17,886</v>
      </c>
    </row>
    <row r="82" spans="1:50" ht="12.75">
      <c r="A82" s="64">
        <f>VLOOKUP(B82,OWData!$B$4:$Q$91,16,FALSE)</f>
        <v>39563</v>
      </c>
      <c r="B82" s="13" t="str">
        <f>VLOOKUP($AO82,OWData!$AI$4:$AL$94,3,FALSE)</f>
        <v>France</v>
      </c>
      <c r="C82" s="7">
        <f>VLOOKUP($AP82,OWData!$AI$4:$AO$94,4,FALSE)</f>
        <v>12753.219790013998</v>
      </c>
      <c r="D82" s="8">
        <f>VLOOKUP($AP82,OWData!$AI$4:$AO$94,5,FALSE)</f>
        <v>14153.126462902472</v>
      </c>
      <c r="E82" s="8">
        <f>VLOOKUP($AP82,OWData!$AI$4:$AO$94,6,FALSE)</f>
        <v>16019.668693420437</v>
      </c>
      <c r="F82" s="9">
        <f>VLOOKUP($AP82,OWData!$AI$4:$AO$94,7,FALSE)</f>
        <v>17886.210923938404</v>
      </c>
      <c r="G82" s="26"/>
      <c r="AO82">
        <f t="shared" si="3"/>
        <v>20</v>
      </c>
      <c r="AP82">
        <f>IF(ISNUMBER(VLOOKUP($AO82,OWData!$AI$4:$AL$94,2,FALSE)),AO82,AP83)</f>
        <v>20</v>
      </c>
      <c r="AU82" t="s">
        <v>1402</v>
      </c>
      <c r="AX82" s="54" t="str">
        <f t="shared" si="2"/>
        <v>France                12,753  14,153  16,020  17,886</v>
      </c>
    </row>
    <row r="83" spans="1:50" ht="12.75">
      <c r="A83" s="64">
        <f>VLOOKUP(B83,OWData!$B$4:$Q$91,16,FALSE)</f>
        <v>39563</v>
      </c>
      <c r="B83" s="13" t="str">
        <f>VLOOKUP($AO83,OWData!$AI$4:$AL$94,3,FALSE)</f>
        <v>Greece</v>
      </c>
      <c r="C83" s="7">
        <f>VLOOKUP($AP83,OWData!$AI$4:$AO$94,4,FALSE)</f>
        <v>12753.220790013998</v>
      </c>
      <c r="D83" s="8">
        <f>VLOOKUP($AP83,OWData!$AI$4:$AO$94,5,FALSE)</f>
        <v>14153.127462902472</v>
      </c>
      <c r="E83" s="8">
        <f>VLOOKUP($AP83,OWData!$AI$4:$AO$94,6,FALSE)</f>
        <v>16019.669693420437</v>
      </c>
      <c r="F83" s="9">
        <f>VLOOKUP($AP83,OWData!$AI$4:$AO$94,7,FALSE)</f>
        <v>17886.211923938405</v>
      </c>
      <c r="G83" s="26"/>
      <c r="AO83">
        <f t="shared" si="3"/>
        <v>19</v>
      </c>
      <c r="AP83">
        <f>IF(ISNUMBER(VLOOKUP($AO83,OWData!$AI$4:$AL$94,2,FALSE)),AO83,AP84)</f>
        <v>19</v>
      </c>
      <c r="AU83" t="s">
        <v>1010</v>
      </c>
      <c r="AX83" s="54" t="str">
        <f t="shared" si="2"/>
        <v>Greece                12,753  14,153  16,020  17,886</v>
      </c>
    </row>
    <row r="84" spans="1:50" ht="12.75">
      <c r="A84" s="64">
        <f>VLOOKUP(B84,OWData!$B$4:$Q$91,16,FALSE)</f>
        <v>39563</v>
      </c>
      <c r="B84" s="13" t="str">
        <f>VLOOKUP($AO84,OWData!$AI$4:$AL$94,3,FALSE)</f>
        <v>Germany</v>
      </c>
      <c r="C84" s="7">
        <f>VLOOKUP($AP84,OWData!$AI$4:$AO$94,4,FALSE)</f>
        <v>12753.220790013998</v>
      </c>
      <c r="D84" s="8">
        <f>VLOOKUP($AP84,OWData!$AI$4:$AO$94,5,FALSE)</f>
        <v>14153.127462902472</v>
      </c>
      <c r="E84" s="8">
        <f>VLOOKUP($AP84,OWData!$AI$4:$AO$94,6,FALSE)</f>
        <v>16019.669693420437</v>
      </c>
      <c r="F84" s="9">
        <f>VLOOKUP($AP84,OWData!$AI$4:$AO$94,7,FALSE)</f>
        <v>17886.211923938405</v>
      </c>
      <c r="G84" s="26"/>
      <c r="AO84">
        <f t="shared" si="3"/>
        <v>18</v>
      </c>
      <c r="AP84">
        <f>IF(ISNUMBER(VLOOKUP($AO84,OWData!$AI$4:$AL$94,2,FALSE)),AO84,AP85)</f>
        <v>18</v>
      </c>
      <c r="AU84" t="s">
        <v>1011</v>
      </c>
      <c r="AX84" s="54" t="str">
        <f t="shared" si="2"/>
        <v>Germany               12,753  14,153  16,020  17,886</v>
      </c>
    </row>
    <row r="85" spans="1:50" ht="12.75">
      <c r="A85" s="64">
        <f>VLOOKUP(B85,OWData!$B$4:$Q$91,16,FALSE)</f>
        <v>39563</v>
      </c>
      <c r="B85" s="13" t="str">
        <f>VLOOKUP($AO85,OWData!$AI$4:$AL$94,3,FALSE)</f>
        <v>Luxembourg</v>
      </c>
      <c r="C85" s="7">
        <f>VLOOKUP($AP85,OWData!$AI$4:$AO$94,4,FALSE)</f>
        <v>12753.225790013998</v>
      </c>
      <c r="D85" s="8">
        <f>VLOOKUP($AP85,OWData!$AI$4:$AO$94,5,FALSE)</f>
        <v>14153.132462902471</v>
      </c>
      <c r="E85" s="8">
        <f>VLOOKUP($AP85,OWData!$AI$4:$AO$94,6,FALSE)</f>
        <v>16019.674693420437</v>
      </c>
      <c r="F85" s="9">
        <f>VLOOKUP($AP85,OWData!$AI$4:$AO$94,7,FALSE)</f>
        <v>17886.216923938406</v>
      </c>
      <c r="G85" s="26"/>
      <c r="AO85">
        <f t="shared" si="3"/>
        <v>17</v>
      </c>
      <c r="AP85">
        <f>IF(ISNUMBER(VLOOKUP($AO85,OWData!$AI$4:$AL$94,2,FALSE)),AO85,AP86)</f>
        <v>17</v>
      </c>
      <c r="AU85" t="s">
        <v>1026</v>
      </c>
      <c r="AX85" s="54" t="str">
        <f t="shared" si="2"/>
        <v>Luxembourg            12,753  14,153  16,020  17,886</v>
      </c>
    </row>
    <row r="86" spans="1:50" ht="12.75">
      <c r="A86" s="64">
        <f>VLOOKUP(B86,OWData!$B$4:$Q$91,16,FALSE)</f>
        <v>39563</v>
      </c>
      <c r="B86" s="13" t="str">
        <f>VLOOKUP($AO86,OWData!$AI$4:$AL$94,3,FALSE)</f>
        <v>Italy</v>
      </c>
      <c r="C86" s="7">
        <f>VLOOKUP($AP86,OWData!$AI$4:$AO$94,4,FALSE)</f>
        <v>12753.222790013999</v>
      </c>
      <c r="D86" s="8">
        <f>VLOOKUP($AP86,OWData!$AI$4:$AO$94,5,FALSE)</f>
        <v>14153.129462902472</v>
      </c>
      <c r="E86" s="8">
        <f>VLOOKUP($AP86,OWData!$AI$4:$AO$94,6,FALSE)</f>
        <v>16019.671693420438</v>
      </c>
      <c r="F86" s="9">
        <f>VLOOKUP($AP86,OWData!$AI$4:$AO$94,7,FALSE)</f>
        <v>17886.213923938405</v>
      </c>
      <c r="G86" s="26"/>
      <c r="AO86">
        <f t="shared" si="3"/>
        <v>16</v>
      </c>
      <c r="AP86">
        <f>IF(ISNUMBER(VLOOKUP($AO86,OWData!$AI$4:$AL$94,2,FALSE)),AO86,AP87)</f>
        <v>16</v>
      </c>
      <c r="AU86" t="s">
        <v>1403</v>
      </c>
      <c r="AX86" s="54" t="str">
        <f t="shared" si="2"/>
        <v>Italy                 12,753  14,153  16,020  17,886</v>
      </c>
    </row>
    <row r="87" spans="1:50" ht="12.75">
      <c r="A87" s="64">
        <f>VLOOKUP(B87,OWData!$B$4:$Q$91,16,FALSE)</f>
        <v>39563</v>
      </c>
      <c r="B87" s="13" t="str">
        <f>VLOOKUP($AO87,OWData!$AI$4:$AL$94,3,FALSE)</f>
        <v>Netherlands</v>
      </c>
      <c r="C87" s="7">
        <f>VLOOKUP($AP87,OWData!$AI$4:$AO$94,4,FALSE)</f>
        <v>12753.227790013998</v>
      </c>
      <c r="D87" s="8">
        <f>VLOOKUP($AP87,OWData!$AI$4:$AO$94,5,FALSE)</f>
        <v>14153.134462902472</v>
      </c>
      <c r="E87" s="8">
        <f>VLOOKUP($AP87,OWData!$AI$4:$AO$94,6,FALSE)</f>
        <v>16019.676693420437</v>
      </c>
      <c r="F87" s="9">
        <f>VLOOKUP($AP87,OWData!$AI$4:$AO$94,7,FALSE)</f>
        <v>17886.218923938406</v>
      </c>
      <c r="G87" s="26"/>
      <c r="AO87">
        <f t="shared" si="3"/>
        <v>15</v>
      </c>
      <c r="AP87">
        <f>IF(ISNUMBER(VLOOKUP($AO87,OWData!$AI$4:$AL$94,2,FALSE)),AO87,AP88)</f>
        <v>15</v>
      </c>
      <c r="AU87" t="s">
        <v>1387</v>
      </c>
      <c r="AX87" s="54" t="str">
        <f t="shared" si="2"/>
        <v>Netherlands           12,753  14,153  16,020  17,886</v>
      </c>
    </row>
    <row r="88" spans="1:50" ht="12.75">
      <c r="A88" s="64">
        <f>VLOOKUP(B88,OWData!$B$4:$Q$91,16,FALSE)</f>
        <v>39563</v>
      </c>
      <c r="B88" s="13" t="str">
        <f>VLOOKUP($AO88,OWData!$AI$4:$AL$94,3,FALSE)</f>
        <v>Portugal</v>
      </c>
      <c r="C88" s="7">
        <f>VLOOKUP($AP88,OWData!$AI$4:$AO$94,4,FALSE)</f>
        <v>12753.229790013998</v>
      </c>
      <c r="D88" s="8">
        <f>VLOOKUP($AP88,OWData!$AI$4:$AO$94,5,FALSE)</f>
        <v>14153.136462902472</v>
      </c>
      <c r="E88" s="8">
        <f>VLOOKUP($AP88,OWData!$AI$4:$AO$94,6,FALSE)</f>
        <v>16019.678693420437</v>
      </c>
      <c r="F88" s="9">
        <f>VLOOKUP($AP88,OWData!$AI$4:$AO$94,7,FALSE)</f>
        <v>17886.220923938406</v>
      </c>
      <c r="G88" s="26"/>
      <c r="AO88">
        <f t="shared" si="3"/>
        <v>14</v>
      </c>
      <c r="AP88">
        <f>IF(ISNUMBER(VLOOKUP($AO88,OWData!$AI$4:$AL$94,2,FALSE)),AO88,AP89)</f>
        <v>14</v>
      </c>
      <c r="AU88" t="s">
        <v>1404</v>
      </c>
      <c r="AX88" s="54" t="str">
        <f t="shared" si="2"/>
        <v>Portugal              12,753  14,153  16,020  17,886</v>
      </c>
    </row>
    <row r="89" spans="1:50" ht="12.75">
      <c r="A89" s="64">
        <f>VLOOKUP(B89,OWData!$B$4:$Q$91,16,FALSE)</f>
        <v>39563</v>
      </c>
      <c r="B89" s="13" t="str">
        <f>VLOOKUP($AO89,OWData!$AI$4:$AL$94,3,FALSE)</f>
        <v>Spain</v>
      </c>
      <c r="C89" s="7">
        <f>VLOOKUP($AP89,OWData!$AI$4:$AO$94,4,FALSE)</f>
        <v>12753.232790013999</v>
      </c>
      <c r="D89" s="8">
        <f>VLOOKUP($AP89,OWData!$AI$4:$AO$94,5,FALSE)</f>
        <v>14153.139462902473</v>
      </c>
      <c r="E89" s="8">
        <f>VLOOKUP($AP89,OWData!$AI$4:$AO$94,6,FALSE)</f>
        <v>16019.681693420438</v>
      </c>
      <c r="F89" s="9">
        <f>VLOOKUP($AP89,OWData!$AI$4:$AO$94,7,FALSE)</f>
        <v>17886.223923938403</v>
      </c>
      <c r="G89" s="26"/>
      <c r="AO89">
        <f t="shared" si="3"/>
        <v>13</v>
      </c>
      <c r="AP89">
        <f>IF(ISNUMBER(VLOOKUP($AO89,OWData!$AI$4:$AL$94,2,FALSE)),AO89,AP90)</f>
        <v>13</v>
      </c>
      <c r="AU89" t="s">
        <v>1012</v>
      </c>
      <c r="AX89" s="54" t="str">
        <f t="shared" si="2"/>
        <v>Spain                 12,753  14,153  16,020  17,886</v>
      </c>
    </row>
    <row r="90" spans="1:50" ht="12.75">
      <c r="A90" s="64">
        <f>VLOOKUP(B90,OWData!$B$4:$Q$91,16,FALSE)</f>
        <v>39563</v>
      </c>
      <c r="B90" s="13" t="str">
        <f>VLOOKUP($AO90,OWData!$AI$4:$AL$94,3,FALSE)</f>
        <v>Cyprus</v>
      </c>
      <c r="C90" s="7">
        <f>VLOOKUP($AP90,OWData!$AI$4:$AO$94,4,FALSE)</f>
        <v>12988.358579327913</v>
      </c>
      <c r="D90" s="8">
        <f>VLOOKUP($AP90,OWData!$AI$4:$AO$94,5,FALSE)</f>
        <v>14413.708696740756</v>
      </c>
      <c r="E90" s="8">
        <f>VLOOKUP($AP90,OWData!$AI$4:$AO$94,6,FALSE)</f>
        <v>16314.507073834924</v>
      </c>
      <c r="F90" s="9">
        <f>VLOOKUP($AP90,OWData!$AI$4:$AO$94,7,FALSE)</f>
        <v>18215.305450929092</v>
      </c>
      <c r="G90" s="26"/>
      <c r="AO90">
        <f t="shared" si="3"/>
        <v>12</v>
      </c>
      <c r="AP90">
        <f>IF(ISNUMBER(VLOOKUP($AO90,OWData!$AI$4:$AL$94,2,FALSE)),AO90,AP91)</f>
        <v>12</v>
      </c>
      <c r="AU90" t="s">
        <v>1013</v>
      </c>
      <c r="AX90" s="54" t="str">
        <f t="shared" si="2"/>
        <v>Cyprus                12,988  14,414  16,315  18,215</v>
      </c>
    </row>
    <row r="91" spans="1:50" ht="12.75">
      <c r="A91" s="64">
        <f>VLOOKUP(B91,OWData!$B$4:$Q$91,16,FALSE)</f>
        <v>39563</v>
      </c>
      <c r="B91" s="13" t="str">
        <f>VLOOKUP($AO91,OWData!$AI$4:$AL$94,3,FALSE)</f>
        <v>Malta</v>
      </c>
      <c r="C91" s="7">
        <f>VLOOKUP($AP91,OWData!$AI$4:$AO$94,4,FALSE)</f>
        <v>12988.368579327913</v>
      </c>
      <c r="D91" s="8">
        <f>VLOOKUP($AP91,OWData!$AI$4:$AO$94,5,FALSE)</f>
        <v>14413.718696740756</v>
      </c>
      <c r="E91" s="8">
        <f>VLOOKUP($AP91,OWData!$AI$4:$AO$94,6,FALSE)</f>
        <v>16314.517073834924</v>
      </c>
      <c r="F91" s="9">
        <f>VLOOKUP($AP91,OWData!$AI$4:$AO$94,7,FALSE)</f>
        <v>18215.315450929094</v>
      </c>
      <c r="G91" s="26"/>
      <c r="AO91">
        <f t="shared" si="3"/>
        <v>11</v>
      </c>
      <c r="AP91">
        <f>IF(ISNUMBER(VLOOKUP($AO91,OWData!$AI$4:$AL$94,2,FALSE)),AO91,AP92)</f>
        <v>11</v>
      </c>
      <c r="AU91" t="s">
        <v>1388</v>
      </c>
      <c r="AX91" s="54" t="str">
        <f t="shared" si="2"/>
        <v>Malta                 12,988  14,414  16,315  18,215</v>
      </c>
    </row>
    <row r="92" spans="1:50" ht="12.75">
      <c r="A92" s="64">
        <f>VLOOKUP(B92,OWData!$B$4:$Q$91,16,FALSE)</f>
        <v>39563</v>
      </c>
      <c r="B92" s="13" t="str">
        <f>VLOOKUP($AO92,OWData!$AI$4:$AL$94,3,FALSE)</f>
        <v>Turkey</v>
      </c>
      <c r="C92" s="7">
        <f>VLOOKUP($AP92,OWData!$AI$4:$AO$94,4,FALSE)</f>
        <v>12988.375579327914</v>
      </c>
      <c r="D92" s="8">
        <f>VLOOKUP($AP92,OWData!$AI$4:$AO$94,5,FALSE)</f>
        <v>14413.725696740757</v>
      </c>
      <c r="E92" s="8">
        <f>VLOOKUP($AP92,OWData!$AI$4:$AO$94,6,FALSE)</f>
        <v>16314.524073834926</v>
      </c>
      <c r="F92" s="9">
        <f>VLOOKUP($AP92,OWData!$AI$4:$AO$94,7,FALSE)</f>
        <v>18215.322450929092</v>
      </c>
      <c r="G92" s="26"/>
      <c r="AO92">
        <f t="shared" si="3"/>
        <v>10</v>
      </c>
      <c r="AP92">
        <f>IF(ISNUMBER(VLOOKUP($AO92,OWData!$AI$4:$AL$94,2,FALSE)),AO92,AP93)</f>
        <v>10</v>
      </c>
      <c r="AU92" t="s">
        <v>1014</v>
      </c>
      <c r="AX92" s="54" t="str">
        <f t="shared" si="2"/>
        <v>Turkey                12,988  14,414  16,315  18,215</v>
      </c>
    </row>
    <row r="93" spans="1:50" ht="12.75">
      <c r="A93" s="64">
        <f>VLOOKUP(B93,OWData!$B$4:$Q$91,16,FALSE)</f>
        <v>39563</v>
      </c>
      <c r="B93" s="13" t="str">
        <f>VLOOKUP($AO93,OWData!$AI$4:$AL$94,3,FALSE)</f>
        <v>Hungary</v>
      </c>
      <c r="C93" s="7">
        <f>VLOOKUP($AP93,OWData!$AI$4:$AO$94,4,FALSE)</f>
        <v>12604.362190498017</v>
      </c>
      <c r="D93" s="8">
        <f>VLOOKUP($AP93,OWData!$AI$4:$AO$94,5,FALSE)</f>
        <v>14594.594600129187</v>
      </c>
      <c r="E93" s="8">
        <f>VLOOKUP($AP93,OWData!$AI$4:$AO$94,6,FALSE)</f>
        <v>16981.946364787695</v>
      </c>
      <c r="F93" s="9">
        <f>VLOOKUP($AP93,OWData!$AI$4:$AO$94,7,FALSE)</f>
        <v>18517.886593959574</v>
      </c>
      <c r="G93" s="26"/>
      <c r="AO93">
        <f t="shared" si="3"/>
        <v>9</v>
      </c>
      <c r="AP93">
        <f>IF(ISNUMBER(VLOOKUP($AO93,OWData!$AI$4:$AL$94,2,FALSE)),AO93,AP94)</f>
        <v>9</v>
      </c>
      <c r="AU93" t="s">
        <v>1027</v>
      </c>
      <c r="AX93" s="54" t="str">
        <f t="shared" si="2"/>
        <v>Hungary               12,604  14,595  16,982  18,518</v>
      </c>
    </row>
    <row r="94" spans="1:50" ht="12.75">
      <c r="A94" s="64">
        <f>VLOOKUP(B94,OWData!$B$4:$Q$91,16,FALSE)</f>
        <v>39563</v>
      </c>
      <c r="B94" s="13" t="str">
        <f>VLOOKUP($AO94,OWData!$AI$4:$AL$94,3,FALSE)</f>
        <v>United Kingdom Basic</v>
      </c>
      <c r="C94" s="7">
        <f>VLOOKUP($AP94,OWData!$AI$4:$AO$94,4,FALSE)</f>
        <v>12946.743734880032</v>
      </c>
      <c r="D94" s="8">
        <f>VLOOKUP($AP94,OWData!$AI$4:$AO$94,5,FALSE)</f>
        <v>14671.907327979377</v>
      </c>
      <c r="E94" s="8">
        <f>VLOOKUP($AP94,OWData!$AI$4:$AO$94,6,FALSE)</f>
        <v>16754.001319651</v>
      </c>
      <c r="F94" s="9">
        <f>VLOOKUP($AP94,OWData!$AI$4:$AO$94,7,FALSE)</f>
        <v>17547.179983144953</v>
      </c>
      <c r="G94" s="26"/>
      <c r="AO94">
        <f t="shared" si="3"/>
        <v>8</v>
      </c>
      <c r="AP94">
        <f>IF(ISNUMBER(VLOOKUP($AO94,OWData!$AI$4:$AL$94,2,FALSE)),AO94,AP95)</f>
        <v>8</v>
      </c>
      <c r="AU94" t="s">
        <v>293</v>
      </c>
      <c r="AX94" s="54" t="str">
        <f t="shared" si="2"/>
        <v>United Kingdom Basic  12,947  14,672  16,754  17,547</v>
      </c>
    </row>
    <row r="95" spans="1:50" ht="12.75">
      <c r="A95" s="64">
        <f>VLOOKUP(B95,OWData!$B$4:$Q$91,16,FALSE)</f>
        <v>39563</v>
      </c>
      <c r="B95" s="13" t="str">
        <f>VLOOKUP($AO95,OWData!$AI$4:$AL$94,3,FALSE)</f>
        <v>United Kingdom Peak</v>
      </c>
      <c r="C95" s="7">
        <f>VLOOKUP($AP95,OWData!$AI$4:$AO$94,4,FALSE)</f>
        <v>12946.743734880032</v>
      </c>
      <c r="D95" s="8">
        <f>VLOOKUP($AP95,OWData!$AI$4:$AO$94,5,FALSE)</f>
        <v>14671.907327979377</v>
      </c>
      <c r="E95" s="8">
        <f>VLOOKUP($AP95,OWData!$AI$4:$AO$94,6,FALSE)</f>
        <v>16754.001319651</v>
      </c>
      <c r="F95" s="9">
        <f>VLOOKUP($AP95,OWData!$AI$4:$AO$94,7,FALSE)</f>
        <v>17547.179983144953</v>
      </c>
      <c r="G95" s="26"/>
      <c r="AO95">
        <f t="shared" si="3"/>
        <v>7</v>
      </c>
      <c r="AP95">
        <f>IF(ISNUMBER(VLOOKUP($AO95,OWData!$AI$4:$AL$94,2,FALSE)),AO95,AP96)</f>
        <v>7</v>
      </c>
      <c r="AU95" t="s">
        <v>294</v>
      </c>
      <c r="AX95" s="54" t="str">
        <f t="shared" si="2"/>
        <v>United Kingdom Peak   12,947  14,672  16,754  17,547</v>
      </c>
    </row>
    <row r="96" spans="1:50" ht="12.75">
      <c r="A96" s="64">
        <f>VLOOKUP(B96,OWData!$B$4:$Q$91,16,FALSE)</f>
        <v>39563</v>
      </c>
      <c r="B96" s="13" t="str">
        <f>VLOOKUP($AO96,OWData!$AI$4:$AL$94,3,FALSE)</f>
        <v>Poland</v>
      </c>
      <c r="C96" s="7">
        <f>VLOOKUP($AP96,OWData!$AI$4:$AO$94,4,FALSE)</f>
        <v>13056.683041284725</v>
      </c>
      <c r="D96" s="8">
        <f>VLOOKUP($AP96,OWData!$AI$4:$AO$94,5,FALSE)</f>
        <v>15308.881729084338</v>
      </c>
      <c r="E96" s="8">
        <f>VLOOKUP($AP96,OWData!$AI$4:$AO$94,6,FALSE)</f>
        <v>18414.302445367768</v>
      </c>
      <c r="F96" s="9">
        <f>VLOOKUP($AP96,OWData!$AI$4:$AO$94,7,FALSE)</f>
        <v>18869.354193892468</v>
      </c>
      <c r="G96" s="26"/>
      <c r="AO96">
        <f t="shared" si="3"/>
        <v>6</v>
      </c>
      <c r="AP96">
        <f>IF(ISNUMBER(VLOOKUP($AO96,OWData!$AI$4:$AL$94,2,FALSE)),AO96,AP97)</f>
        <v>6</v>
      </c>
      <c r="AU96" t="s">
        <v>1389</v>
      </c>
      <c r="AX96" s="54" t="str">
        <f t="shared" si="2"/>
        <v>Poland                13,057  15,309  18,414  18,869</v>
      </c>
    </row>
    <row r="97" spans="1:50" ht="12.75">
      <c r="A97" s="64">
        <f>VLOOKUP(B97,OWData!$B$4:$Q$91,16,FALSE)</f>
        <v>39123</v>
      </c>
      <c r="B97" s="13" t="str">
        <f>VLOOKUP($AO97,OWData!$AI$4:$AL$94,3,FALSE)</f>
        <v>Tunisia</v>
      </c>
      <c r="C97" s="7">
        <f>VLOOKUP($AP97,OWData!$AI$4:$AO$94,4,FALSE)</f>
        <v>12349.940200304518</v>
      </c>
      <c r="D97" s="8">
        <f>VLOOKUP($AP97,OWData!$AI$4:$AO$94,5,FALSE)</f>
        <v>15648.874390796822</v>
      </c>
      <c r="E97" s="8">
        <f>VLOOKUP($AP97,OWData!$AI$4:$AO$94,6,FALSE)</f>
        <v>17763.575794958553</v>
      </c>
      <c r="F97" s="9">
        <f>VLOOKUP($AP97,OWData!$AI$4:$AO$94,7,FALSE)</f>
        <v>20301.21747995263</v>
      </c>
      <c r="G97" s="26"/>
      <c r="AO97">
        <f t="shared" si="3"/>
        <v>5</v>
      </c>
      <c r="AP97">
        <f>IF(ISNUMBER(VLOOKUP($AO97,OWData!$AI$4:$AL$94,2,FALSE)),AO97,AP98)</f>
        <v>5</v>
      </c>
      <c r="AU97" t="s">
        <v>1390</v>
      </c>
      <c r="AX97" s="54" t="str">
        <f t="shared" si="2"/>
        <v>Tunisia               12,350  15,649  17,764  20,301</v>
      </c>
    </row>
    <row r="98" spans="1:50" ht="12.75">
      <c r="A98" s="64">
        <f>VLOOKUP(B98,OWData!$B$4:$Q$91,16,FALSE)</f>
        <v>39563</v>
      </c>
      <c r="B98" s="13" t="str">
        <f>VLOOKUP($AO98,OWData!$AI$4:$AL$94,3,FALSE)</f>
        <v>Ireland Basic</v>
      </c>
      <c r="C98" s="7">
        <f>VLOOKUP($AP98,OWData!$AI$4:$AO$94,4,FALSE)</f>
        <v>15475.2635428527</v>
      </c>
      <c r="D98" s="8">
        <f>VLOOKUP($AP98,OWData!$AI$4:$AO$94,5,FALSE)</f>
        <v>16408.534658111683</v>
      </c>
      <c r="E98" s="8">
        <f>VLOOKUP($AP98,OWData!$AI$4:$AO$94,6,FALSE)</f>
        <v>18430.622074506144</v>
      </c>
      <c r="F98" s="9">
        <f>VLOOKUP($AP98,OWData!$AI$4:$AO$94,7,FALSE)</f>
        <v>19441.665782703374</v>
      </c>
      <c r="G98" s="26"/>
      <c r="AO98">
        <f t="shared" si="3"/>
        <v>4</v>
      </c>
      <c r="AP98">
        <f>IF(ISNUMBER(VLOOKUP($AO98,OWData!$AI$4:$AL$94,2,FALSE)),AO98,AP99)</f>
        <v>4</v>
      </c>
      <c r="AX98" s="54" t="str">
        <f t="shared" si="2"/>
        <v>Ireland Basic         15,475  16,409  18,431  19,442</v>
      </c>
    </row>
    <row r="99" spans="1:50" ht="12.75">
      <c r="A99" s="64">
        <f>VLOOKUP(B99,OWData!$B$4:$Q$91,16,FALSE)</f>
        <v>39563</v>
      </c>
      <c r="B99" s="13" t="str">
        <f>VLOOKUP($AO99,OWData!$AI$4:$AL$94,3,FALSE)</f>
        <v>Ireland Peak</v>
      </c>
      <c r="C99" s="7">
        <f>VLOOKUP($AP99,OWData!$AI$4:$AO$94,4,FALSE)</f>
        <v>15475.2635428527</v>
      </c>
      <c r="D99" s="8">
        <f>VLOOKUP($AP99,OWData!$AI$4:$AO$94,5,FALSE)</f>
        <v>16408.534658111683</v>
      </c>
      <c r="E99" s="8">
        <f>VLOOKUP($AP99,OWData!$AI$4:$AO$94,6,FALSE)</f>
        <v>18430.622074506144</v>
      </c>
      <c r="F99" s="9">
        <f>VLOOKUP($AP99,OWData!$AI$4:$AO$94,7,FALSE)</f>
        <v>19441.665782703374</v>
      </c>
      <c r="G99" s="26"/>
      <c r="AO99">
        <f t="shared" si="3"/>
        <v>3</v>
      </c>
      <c r="AP99">
        <f>IF(ISNUMBER(VLOOKUP($AO99,OWData!$AI$4:$AL$94,2,FALSE)),AO99,AP100)</f>
        <v>3</v>
      </c>
      <c r="AX99" s="54" t="str">
        <f t="shared" si="2"/>
        <v>Ireland Peak          15,475  16,409  18,431  19,442</v>
      </c>
    </row>
    <row r="100" spans="1:50" ht="12.75">
      <c r="A100" s="64">
        <f>VLOOKUP(B100,OWData!$B$4:$Q$91,16,FALSE)</f>
        <v>39123</v>
      </c>
      <c r="B100" s="13" t="str">
        <f>VLOOKUP($AO100,OWData!$AI$4:$AL$94,3,FALSE)</f>
        <v>Morocco</v>
      </c>
      <c r="C100" s="7">
        <f>VLOOKUP($AP100,OWData!$AI$4:$AO$94,4,FALSE)</f>
        <v>15861.104190332326</v>
      </c>
      <c r="D100" s="8">
        <f>VLOOKUP($AP100,OWData!$AI$4:$AO$94,5,FALSE)</f>
        <v>17358.190940440225</v>
      </c>
      <c r="E100" s="8">
        <f>VLOOKUP($AP100,OWData!$AI$4:$AO$94,6,FALSE)</f>
        <v>19958.536214501513</v>
      </c>
      <c r="F100" s="9">
        <f>VLOOKUP($AP100,OWData!$AI$4:$AO$94,7,FALSE)</f>
        <v>22355.22374147605</v>
      </c>
      <c r="G100" s="26"/>
      <c r="AO100">
        <f t="shared" si="3"/>
        <v>2</v>
      </c>
      <c r="AP100">
        <f>IF(ISNUMBER(VLOOKUP($AO100,OWData!$AI$4:$AL$94,2,FALSE)),AO100,AP101)</f>
        <v>2</v>
      </c>
      <c r="AX100" s="54" t="str">
        <f t="shared" si="2"/>
        <v>Morocco               15,861  17,358  19,959  22,355</v>
      </c>
    </row>
    <row r="101" spans="1:50" ht="12.75">
      <c r="A101" s="64">
        <f>VLOOKUP(B101,OWData!$B$4:$Q$91,16,FALSE)</f>
        <v>39563</v>
      </c>
      <c r="B101" s="14" t="str">
        <f>VLOOKUP($AO101,OWData!$AI$4:$AL$94,3,FALSE)</f>
        <v>Czech Republic</v>
      </c>
      <c r="C101" s="10">
        <f>VLOOKUP($AP101,OWData!$AI$4:$AO$94,4,FALSE)</f>
        <v>16077.94223993335</v>
      </c>
      <c r="D101" s="11">
        <f>VLOOKUP($AP101,OWData!$AI$4:$AO$94,5,FALSE)</f>
        <v>18348.82857325727</v>
      </c>
      <c r="E101" s="11">
        <f>VLOOKUP($AP101,OWData!$AI$4:$AO$94,6,FALSE)</f>
        <v>21662.013243977995</v>
      </c>
      <c r="F101" s="12">
        <f>VLOOKUP($AP101,OWData!$AI$4:$AO$94,7,FALSE)</f>
        <v>23624.98278634274</v>
      </c>
      <c r="G101" s="26"/>
      <c r="AO101">
        <f t="shared" si="3"/>
        <v>1</v>
      </c>
      <c r="AP101">
        <f>IF(ISNUMBER(VLOOKUP($AO101,OWData!$AI$4:$AL$94,2,FALSE)),AO101,AP102)</f>
        <v>1</v>
      </c>
      <c r="AX101" s="54" t="str">
        <f t="shared" si="2"/>
        <v>Czech Republic        16,078  18,349  21,662  23,625</v>
      </c>
    </row>
    <row r="102" spans="1:7" ht="12.75">
      <c r="A102" s="26"/>
      <c r="B102" s="26"/>
      <c r="C102" s="26"/>
      <c r="D102" s="26"/>
      <c r="E102" s="26"/>
      <c r="F102" s="26"/>
      <c r="G102" s="26"/>
    </row>
    <row r="103" spans="1:7" ht="12.75" hidden="1">
      <c r="A103" s="26"/>
      <c r="B103" s="26"/>
      <c r="C103" s="26"/>
      <c r="D103" s="26"/>
      <c r="E103" s="26"/>
      <c r="F103" s="26"/>
      <c r="G103" s="26"/>
    </row>
    <row r="104" spans="1:7" ht="12.75" hidden="1">
      <c r="A104" s="26"/>
      <c r="B104" s="26"/>
      <c r="C104" s="26"/>
      <c r="D104" s="26"/>
      <c r="E104" s="26"/>
      <c r="F104" s="26"/>
      <c r="G104" s="26"/>
    </row>
    <row r="105" spans="1:7" ht="12.75" hidden="1">
      <c r="A105" s="26"/>
      <c r="B105" s="26"/>
      <c r="C105" s="26"/>
      <c r="D105" s="26"/>
      <c r="E105" s="26"/>
      <c r="F105" s="26"/>
      <c r="G105" s="26"/>
    </row>
    <row r="106" spans="1:7" ht="12.75" hidden="1">
      <c r="A106" s="26"/>
      <c r="B106" s="26"/>
      <c r="C106" s="26"/>
      <c r="D106" s="26"/>
      <c r="E106" s="26"/>
      <c r="F106" s="26"/>
      <c r="G106" s="26"/>
    </row>
    <row r="107" spans="1:7" ht="12.75" hidden="1">
      <c r="A107" s="26"/>
      <c r="B107" s="26"/>
      <c r="C107" s="26"/>
      <c r="D107" s="26"/>
      <c r="E107" s="26"/>
      <c r="F107" s="26"/>
      <c r="G107" s="26"/>
    </row>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sheetData>
  <dataValidations count="4">
    <dataValidation type="list" allowBlank="1" showInputMessage="1" showErrorMessage="1" sqref="C2">
      <formula1>$AR$2:$AR$62</formula1>
    </dataValidation>
    <dataValidation type="list" allowBlank="1" showInputMessage="1" showErrorMessage="1" sqref="C3">
      <formula1>$AS$2:$AS$4</formula1>
    </dataValidation>
    <dataValidation type="whole" allowBlank="1" showInputMessage="1" showErrorMessage="1" sqref="C4 C6">
      <formula1>3</formula1>
      <formula2>6</formula2>
    </dataValidation>
    <dataValidation type="list" allowBlank="1" showInputMessage="1" showErrorMessage="1" sqref="C5">
      <formula1>$AU$8:$AU$97</formula1>
    </dataValidation>
  </dataValidations>
  <printOptions/>
  <pageMargins left="0.75" right="0.75" top="1" bottom="1" header="0.5" footer="0.5"/>
  <pageSetup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codeName="Sheet5"/>
  <dimension ref="A1:BP107"/>
  <sheetViews>
    <sheetView workbookViewId="0" topLeftCell="A1">
      <selection activeCell="A1" sqref="A1"/>
    </sheetView>
  </sheetViews>
  <sheetFormatPr defaultColWidth="9.140625" defaultRowHeight="12.75" zeroHeight="1"/>
  <cols>
    <col min="1" max="1" width="8.8515625" style="0" customWidth="1"/>
    <col min="2" max="2" width="22.140625" style="0" bestFit="1" customWidth="1"/>
    <col min="3" max="3" width="10.28125" style="0" customWidth="1"/>
    <col min="4" max="12" width="8.8515625" style="0" customWidth="1"/>
    <col min="13" max="16384" width="9.140625" style="0" hidden="1" customWidth="1"/>
  </cols>
  <sheetData>
    <row r="1" spans="1:12" ht="27" customHeight="1">
      <c r="A1" s="26"/>
      <c r="B1" s="30" t="s">
        <v>1207</v>
      </c>
      <c r="C1" s="25"/>
      <c r="D1" s="29"/>
      <c r="E1" s="29"/>
      <c r="F1" s="42"/>
      <c r="G1" s="42"/>
      <c r="H1" s="42"/>
      <c r="I1" s="42"/>
      <c r="J1" s="42"/>
      <c r="K1" s="42"/>
      <c r="L1" s="42"/>
    </row>
    <row r="2" spans="1:50" ht="12.75">
      <c r="A2" s="26"/>
      <c r="B2" s="24" t="s">
        <v>1370</v>
      </c>
      <c r="C2" s="50" t="s">
        <v>1308</v>
      </c>
      <c r="D2" s="26"/>
      <c r="E2" s="47" t="str">
        <f>oneworld!E2</f>
        <v>exchange rates updated 02-May-2008</v>
      </c>
      <c r="F2" s="26"/>
      <c r="G2" s="26"/>
      <c r="H2" s="26"/>
      <c r="I2" s="26"/>
      <c r="J2" s="26"/>
      <c r="K2" s="26"/>
      <c r="L2" s="26"/>
      <c r="AR2" t="s">
        <v>1251</v>
      </c>
      <c r="AS2" t="s">
        <v>1374</v>
      </c>
      <c r="AT2" t="s">
        <v>1163</v>
      </c>
      <c r="AU2" t="str">
        <f>VLOOKUP(class,AS2:AT4,2,FALSE)&amp;continents</f>
        <v>F4</v>
      </c>
      <c r="AW2">
        <v>29000</v>
      </c>
      <c r="AX2">
        <v>1</v>
      </c>
    </row>
    <row r="3" spans="1:50" ht="12.75">
      <c r="A3" s="26"/>
      <c r="B3" s="24" t="s">
        <v>1372</v>
      </c>
      <c r="C3" s="50" t="s">
        <v>1374</v>
      </c>
      <c r="D3" s="48"/>
      <c r="F3" s="26"/>
      <c r="G3" s="26"/>
      <c r="H3" s="26"/>
      <c r="I3" s="26"/>
      <c r="J3" s="26"/>
      <c r="K3" s="26"/>
      <c r="L3" s="26"/>
      <c r="AR3" t="s">
        <v>1308</v>
      </c>
      <c r="AS3" t="s">
        <v>1375</v>
      </c>
      <c r="AT3" t="s">
        <v>1205</v>
      </c>
      <c r="AU3" t="str">
        <f>VLOOKUP(SAcl,AS2:AT7,2,FALSE)</f>
        <v>F</v>
      </c>
      <c r="AW3">
        <v>34000</v>
      </c>
      <c r="AX3">
        <v>2</v>
      </c>
    </row>
    <row r="4" spans="1:50" ht="12.75">
      <c r="A4" s="26"/>
      <c r="B4" s="24" t="s">
        <v>1206</v>
      </c>
      <c r="C4" s="50">
        <v>39000</v>
      </c>
      <c r="D4" s="26"/>
      <c r="E4" s="48"/>
      <c r="F4" s="26"/>
      <c r="G4" s="26"/>
      <c r="H4" s="26"/>
      <c r="I4" s="26"/>
      <c r="J4" s="26"/>
      <c r="K4" s="26"/>
      <c r="L4" s="26"/>
      <c r="AR4" t="s">
        <v>1330</v>
      </c>
      <c r="AS4" t="s">
        <v>1376</v>
      </c>
      <c r="AT4" t="s">
        <v>1164</v>
      </c>
      <c r="AV4" t="str">
        <f>AU3&amp;"RWSTAR"&amp;VLOOKUP(SAopt,AW2:AX4,2,FALSE)</f>
        <v>FRWSTAR3</v>
      </c>
      <c r="AW4">
        <v>39000</v>
      </c>
      <c r="AX4">
        <v>3</v>
      </c>
    </row>
    <row r="5" spans="1:12" ht="12.75">
      <c r="A5" s="26"/>
      <c r="B5" s="24" t="s">
        <v>1377</v>
      </c>
      <c r="C5" s="50" t="s">
        <v>1201</v>
      </c>
      <c r="D5" s="5">
        <f>VLOOKUP(VLOOKUP(C5,B12:AP100,41,FALSE)+1,SAData!$W$7:$X$39,2,FALSE)</f>
        <v>13629.0069</v>
      </c>
      <c r="E5" s="6" t="str">
        <f>SAfx</f>
        <v>EUR</v>
      </c>
      <c r="F5" s="26"/>
      <c r="G5" s="26"/>
      <c r="H5" s="26"/>
      <c r="I5" s="26"/>
      <c r="J5" s="26"/>
      <c r="K5" s="26"/>
      <c r="L5" s="26"/>
    </row>
    <row r="6" spans="1:44" ht="12.75">
      <c r="A6" s="26"/>
      <c r="B6" s="26"/>
      <c r="C6" s="26"/>
      <c r="D6" s="26"/>
      <c r="E6" s="26"/>
      <c r="F6" s="26"/>
      <c r="G6" s="26"/>
      <c r="H6" s="26"/>
      <c r="I6" s="26"/>
      <c r="J6" s="26"/>
      <c r="K6" s="26"/>
      <c r="L6" s="26"/>
      <c r="AR6" t="s">
        <v>1351</v>
      </c>
    </row>
    <row r="7" spans="1:44" ht="12.75">
      <c r="A7" s="26"/>
      <c r="B7" s="24" t="s">
        <v>1032</v>
      </c>
      <c r="C7" s="5">
        <f>MAX(SAData!X7:X39)-MIN(SAData!X7:X39)</f>
        <v>9466.930797440938</v>
      </c>
      <c r="D7" s="35">
        <f>MAX(SAData!X7:X39)/MIN(SAData!X7:X39)-1</f>
        <v>1.393938194671334</v>
      </c>
      <c r="E7" s="26"/>
      <c r="F7" s="26"/>
      <c r="G7" s="26"/>
      <c r="H7" s="26"/>
      <c r="I7" s="26"/>
      <c r="J7" s="26"/>
      <c r="K7" s="26"/>
      <c r="L7" s="26"/>
      <c r="AR7" t="s">
        <v>1353</v>
      </c>
    </row>
    <row r="8" spans="1:57" ht="12.75">
      <c r="A8" s="26"/>
      <c r="B8" s="24" t="str">
        <f>"Difference to "&amp;C5</f>
        <v>Difference to Euro-Area</v>
      </c>
      <c r="C8" s="5">
        <f>D5-MIN(SAData!X7:X39)</f>
        <v>6837.507224023999</v>
      </c>
      <c r="D8" s="35">
        <f>D5/MIN(SAData!X7:X39)-1</f>
        <v>1.0067742840672942</v>
      </c>
      <c r="E8" s="26"/>
      <c r="F8" s="26"/>
      <c r="G8" s="26"/>
      <c r="H8" s="26"/>
      <c r="I8" s="26"/>
      <c r="J8" s="26"/>
      <c r="K8" s="26"/>
      <c r="L8" s="26"/>
      <c r="AR8" t="s">
        <v>1340</v>
      </c>
      <c r="AU8" t="s">
        <v>1233</v>
      </c>
      <c r="AW8" t="s">
        <v>1208</v>
      </c>
      <c r="AX8" t="s">
        <v>1209</v>
      </c>
      <c r="AY8" t="s">
        <v>1210</v>
      </c>
      <c r="AZ8" t="s">
        <v>1211</v>
      </c>
      <c r="BA8" t="s">
        <v>1212</v>
      </c>
      <c r="BB8" t="s">
        <v>1213</v>
      </c>
      <c r="BC8" t="s">
        <v>1214</v>
      </c>
      <c r="BD8" t="s">
        <v>1215</v>
      </c>
      <c r="BE8" t="s">
        <v>1216</v>
      </c>
    </row>
    <row r="9" spans="1:51" ht="12.75">
      <c r="A9" s="46"/>
      <c r="B9" s="26"/>
      <c r="C9" s="27"/>
      <c r="D9" s="36"/>
      <c r="E9" s="26"/>
      <c r="F9" s="26"/>
      <c r="G9" s="26"/>
      <c r="H9" s="26"/>
      <c r="I9" s="26"/>
      <c r="J9" s="26"/>
      <c r="K9" s="26"/>
      <c r="L9" s="26"/>
      <c r="AR9" t="s">
        <v>1356</v>
      </c>
      <c r="AU9" t="s">
        <v>1028</v>
      </c>
      <c r="AX9">
        <v>18</v>
      </c>
      <c r="AY9">
        <v>8</v>
      </c>
    </row>
    <row r="10" spans="1:47" ht="12.75">
      <c r="A10" s="26"/>
      <c r="B10" s="21"/>
      <c r="C10" s="15" t="s">
        <v>1374</v>
      </c>
      <c r="D10" s="16"/>
      <c r="E10" s="17"/>
      <c r="F10" s="15" t="s">
        <v>1375</v>
      </c>
      <c r="G10" s="16"/>
      <c r="H10" s="17"/>
      <c r="I10" s="15" t="s">
        <v>1376</v>
      </c>
      <c r="J10" s="16"/>
      <c r="K10" s="17"/>
      <c r="L10" s="26"/>
      <c r="AR10" t="s">
        <v>1325</v>
      </c>
      <c r="AU10" t="s">
        <v>1409</v>
      </c>
    </row>
    <row r="11" spans="1:68" ht="12.75">
      <c r="A11" s="26"/>
      <c r="B11" s="22"/>
      <c r="C11" s="38">
        <v>29000</v>
      </c>
      <c r="D11" s="39">
        <v>34000</v>
      </c>
      <c r="E11" s="40">
        <v>39000</v>
      </c>
      <c r="F11" s="38">
        <f aca="true" t="shared" si="0" ref="F11:K11">C11</f>
        <v>29000</v>
      </c>
      <c r="G11" s="39">
        <f t="shared" si="0"/>
        <v>34000</v>
      </c>
      <c r="H11" s="40">
        <f t="shared" si="0"/>
        <v>39000</v>
      </c>
      <c r="I11" s="38">
        <f t="shared" si="0"/>
        <v>29000</v>
      </c>
      <c r="J11" s="39">
        <f t="shared" si="0"/>
        <v>34000</v>
      </c>
      <c r="K11" s="40">
        <f t="shared" si="0"/>
        <v>39000</v>
      </c>
      <c r="L11" s="26"/>
      <c r="AO11">
        <f>MAX(SAData!W7:W105)</f>
        <v>34</v>
      </c>
      <c r="AP11">
        <f>IF(ISNUMBER(VLOOKUP($AO11,OWData!$AI$4:$AL$94,2,FALSE)),AO11,AP12)</f>
        <v>34</v>
      </c>
      <c r="AR11" t="s">
        <v>1269</v>
      </c>
      <c r="AS11">
        <v>3</v>
      </c>
      <c r="AU11" t="s">
        <v>1030</v>
      </c>
      <c r="BI11" t="s">
        <v>1163</v>
      </c>
      <c r="BL11" t="s">
        <v>1205</v>
      </c>
      <c r="BP11" t="s">
        <v>1164</v>
      </c>
    </row>
    <row r="12" spans="1:67" ht="12.75">
      <c r="A12" s="63">
        <f>VLOOKUP(AO11,SAData!$W$7:$AJ$40,14,FALSE)</f>
        <v>39563</v>
      </c>
      <c r="B12" s="13" t="str">
        <f>VLOOKUP(AO11,SAData!$W$7:$AI$40,3,FALSE)</f>
        <v>Indonesia</v>
      </c>
      <c r="C12" s="7">
        <f>VLOOKUP($AP11,SAData!$W$7:$AI$40,MATCH(AW$8,SAData!$AA$5:$AI$5,0)+4,FALSE)</f>
        <v>5002.7539947000005</v>
      </c>
      <c r="D12" s="8">
        <f>VLOOKUP($AP11,SAData!$W$7:$AI$40,MATCH(AX$8,SAData!$AA$5:$AI$5,0)+4,FALSE)</f>
        <v>5779.360775034001</v>
      </c>
      <c r="E12" s="9">
        <f>VLOOKUP($AP11,SAData!$W$7:$AI$40,MATCH(AY$8,SAData!$AA$5:$AI$5,0)+4,FALSE)</f>
        <v>6791.492375976001</v>
      </c>
      <c r="F12" s="7">
        <f>VLOOKUP($AP11,SAData!$W$7:$AI$40,MATCH(AZ$8,SAData!$AA$5:$AI$5,0)+4,FALSE)</f>
        <v>3615.0467970540008</v>
      </c>
      <c r="G12" s="8">
        <f>VLOOKUP($AP11,SAData!$W$7:$AI$40,MATCH(BA$8,SAData!$AA$5:$AI$5,0)+4,FALSE)</f>
        <v>4175.22217959</v>
      </c>
      <c r="H12" s="9">
        <f>VLOOKUP($AP11,SAData!$W$7:$AI$40,MATCH(BB$8,SAData!$AA$5:$AI$5,0)+4,FALSE)</f>
        <v>4900.903925148001</v>
      </c>
      <c r="I12" s="7">
        <f>VLOOKUP($AP11,SAData!$W$7:$AI$40,MATCH(BC$8,SAData!$AA$5:$AI$5,0)+4,FALSE)</f>
        <v>1839.0327440100002</v>
      </c>
      <c r="J12" s="8">
        <f>VLOOKUP($AP11,SAData!$W$7:$AI$40,MATCH(BD$8,SAData!$AA$5:$AI$5,0)+4,FALSE)</f>
        <v>2112.7582711620003</v>
      </c>
      <c r="K12" s="9">
        <f>VLOOKUP($AP11,SAData!$W$7:$AI$40,MATCH(BE$8,SAData!$AA$5:$AI$5,0)+4,FALSE)</f>
        <v>2481.9647732880003</v>
      </c>
      <c r="L12" s="26"/>
      <c r="AO12">
        <f aca="true" t="shared" si="1" ref="AO12:AO31">MAX(0,AO11-1)</f>
        <v>33</v>
      </c>
      <c r="AP12">
        <f>IF(ISNUMBER(VLOOKUP($AO12,OWData!$AI$4:$AL$94,2,FALSE)),AO12,AP13)</f>
        <v>33</v>
      </c>
      <c r="AR12" t="s">
        <v>1314</v>
      </c>
      <c r="AS12">
        <v>4</v>
      </c>
      <c r="AU12" t="s">
        <v>1392</v>
      </c>
      <c r="AX12" s="54" t="str">
        <f>$B12&amp;REPT(" ",$AX$9-LEN($B12))&amp;TEXT(C12,"0,0")&amp;REPT(" ",$AY$9-LEN(TEXT(C12,"0,0")))&amp;TEXT(D12,"0,0")&amp;REPT(" ",$AY$9-LEN(TEXT(D12,"0,0")))&amp;TEXT(E12,"0,0")</f>
        <v>Indonesia         5,003   5,779   6,791</v>
      </c>
      <c r="BA12" s="54" t="str">
        <f>$B12&amp;REPT(" ",$AX$9-LEN($B12))&amp;TEXT(F12,"0,0")&amp;REPT(" ",$AY$9-LEN(TEXT(F12,"0,0")))&amp;TEXT(G12,"0,0")&amp;REPT(" ",$AY$9-LEN(TEXT(G12,"0,0")))&amp;TEXT(H12,"0,0")</f>
        <v>Indonesia         3,615   4,175   4,901</v>
      </c>
      <c r="BD12" s="54" t="str">
        <f>$B12&amp;REPT(" ",$AX$9-LEN($B12))&amp;TEXT(I12,"0,0")&amp;REPT(" ",$AY$9-LEN(TEXT(I12,"0,0")))&amp;TEXT(J12,"0,0")&amp;REPT(" ",$AY$9-LEN(TEXT(J12,"0,0")))&amp;TEXT(K12,"0,0")</f>
        <v>Indonesia         1,839   2,113   2,482</v>
      </c>
      <c r="BI12" s="54">
        <f>IF($A12="",AX12,"")</f>
      </c>
      <c r="BJ12" s="54"/>
      <c r="BK12" s="54"/>
      <c r="BL12" s="54">
        <f>IF($A12="",BA12,"")</f>
      </c>
      <c r="BM12" s="54"/>
      <c r="BN12" s="54"/>
      <c r="BO12" s="54">
        <f>IF($A12="",BD12,"")</f>
      </c>
    </row>
    <row r="13" spans="1:67" ht="12.75">
      <c r="A13" s="63">
        <f>VLOOKUP(AO12,SAData!$W$7:$AJ$40,14,FALSE)</f>
        <v>39563</v>
      </c>
      <c r="B13" s="13" t="str">
        <f>VLOOKUP(AO12,SAData!$W$7:$AI$40,3,FALSE)</f>
        <v>South Africa</v>
      </c>
      <c r="C13" s="7">
        <f>VLOOKUP($AP12,SAData!$W$7:$AI$40,MATCH(AW$8,SAData!$AA$5:$AI$5,0)+4,FALSE)</f>
        <v>5372.397438093857</v>
      </c>
      <c r="D13" s="8">
        <f>VLOOKUP($AP12,SAData!$W$7:$AI$40,MATCH(AX$8,SAData!$AA$5:$AI$5,0)+4,FALSE)</f>
        <v>6177.282718994215</v>
      </c>
      <c r="E13" s="9">
        <f>VLOOKUP($AP12,SAData!$W$7:$AI$40,MATCH(AY$8,SAData!$AA$5:$AI$5,0)+4,FALSE)</f>
        <v>7248.203766423743</v>
      </c>
      <c r="F13" s="7">
        <f>VLOOKUP($AP12,SAData!$W$7:$AI$40,MATCH(AZ$8,SAData!$AA$5:$AI$5,0)+4,FALSE)</f>
        <v>3551.662207930839</v>
      </c>
      <c r="G13" s="8">
        <f>VLOOKUP($AP12,SAData!$W$7:$AI$40,MATCH(BA$8,SAData!$AA$5:$AI$5,0)+4,FALSE)</f>
        <v>4083.7337409891807</v>
      </c>
      <c r="H13" s="9">
        <f>VLOOKUP($AP12,SAData!$W$7:$AI$40,MATCH(BB$8,SAData!$AA$5:$AI$5,0)+4,FALSE)</f>
        <v>4797.963521830235</v>
      </c>
      <c r="I13" s="7">
        <f>VLOOKUP($AP12,SAData!$W$7:$AI$40,MATCH(BC$8,SAData!$AA$5:$AI$5,0)+4,FALSE)</f>
        <v>1634.3407440597778</v>
      </c>
      <c r="J13" s="8">
        <f>VLOOKUP($AP12,SAData!$W$7:$AI$40,MATCH(BD$8,SAData!$AA$5:$AI$5,0)+4,FALSE)</f>
        <v>1878.348071322202</v>
      </c>
      <c r="K13" s="9">
        <f>VLOOKUP($AP12,SAData!$W$7:$AI$40,MATCH(BE$8,SAData!$AA$5:$AI$5,0)+4,FALSE)</f>
        <v>2205.3856696669786</v>
      </c>
      <c r="L13" s="26"/>
      <c r="AO13">
        <f t="shared" si="1"/>
        <v>32</v>
      </c>
      <c r="AP13">
        <f>IF(ISNUMBER(VLOOKUP($AO13,OWData!$AI$4:$AL$94,2,FALSE)),AO13,AP14)</f>
        <v>32</v>
      </c>
      <c r="AR13" t="s">
        <v>1315</v>
      </c>
      <c r="AS13">
        <v>5</v>
      </c>
      <c r="AU13" t="s">
        <v>1413</v>
      </c>
      <c r="AX13" s="54" t="str">
        <f aca="true" t="shared" si="2" ref="AX13:AX42">$B13&amp;REPT(" ",$AX$9-LEN($B13))&amp;TEXT(C13,"0,0")&amp;REPT(" ",$AY$9-LEN(TEXT(C13,"0,0")))&amp;TEXT(D13,"0,0")&amp;REPT(" ",$AY$9-LEN(TEXT(D13,"0,0")))&amp;TEXT(E13,"0,0")</f>
        <v>South Africa      5,372   6,177   7,248</v>
      </c>
      <c r="BA13" s="54" t="str">
        <f aca="true" t="shared" si="3" ref="BA13:BA42">$B13&amp;REPT(" ",$AX$9-LEN($B13))&amp;TEXT(F13,"0,0")&amp;REPT(" ",$AY$9-LEN(TEXT(F13,"0,0")))&amp;TEXT(G13,"0,0")&amp;REPT(" ",$AY$9-LEN(TEXT(G13,"0,0")))&amp;TEXT(H13,"0,0")</f>
        <v>South Africa      3,552   4,084   4,798</v>
      </c>
      <c r="BD13" s="54" t="str">
        <f aca="true" t="shared" si="4" ref="BD13:BD42">$B13&amp;REPT(" ",$AX$9-LEN($B13))&amp;TEXT(I13,"0,0")&amp;REPT(" ",$AY$9-LEN(TEXT(I13,"0,0")))&amp;TEXT(J13,"0,0")&amp;REPT(" ",$AY$9-LEN(TEXT(J13,"0,0")))&amp;TEXT(K13,"0,0")</f>
        <v>South Africa      1,634   1,878   2,205</v>
      </c>
      <c r="BI13" s="54">
        <f aca="true" t="shared" si="5" ref="BI13:BI42">IF($A13="",AX13,"")</f>
      </c>
      <c r="BJ13" s="54"/>
      <c r="BK13" s="54"/>
      <c r="BL13" s="54">
        <f aca="true" t="shared" si="6" ref="BL13:BL42">IF($A13="",BA13,"")</f>
      </c>
      <c r="BM13" s="54"/>
      <c r="BN13" s="54"/>
      <c r="BO13" s="54">
        <f aca="true" t="shared" si="7" ref="BO13:BO42">IF($A13="",BD13,"")</f>
      </c>
    </row>
    <row r="14" spans="1:67" ht="12.75">
      <c r="A14" s="63">
        <f>VLOOKUP(AO13,SAData!$W$7:$AJ$40,14,FALSE)</f>
        <v>39563</v>
      </c>
      <c r="B14" s="13" t="str">
        <f>VLOOKUP(AO13,SAData!$W$7:$AI$40,3,FALSE)</f>
        <v>Korea</v>
      </c>
      <c r="C14" s="7">
        <f>VLOOKUP($AP13,SAData!$W$7:$AI$40,MATCH(AW$8,SAData!$AA$5:$AI$5,0)+4,FALSE)</f>
        <v>5646.4983485295</v>
      </c>
      <c r="D14" s="8">
        <f>VLOOKUP($AP13,SAData!$W$7:$AI$40,MATCH(AX$8,SAData!$AA$5:$AI$5,0)+4,FALSE)</f>
        <v>6493.593896481478</v>
      </c>
      <c r="E14" s="9">
        <f>VLOOKUP($AP13,SAData!$W$7:$AI$40,MATCH(AY$8,SAData!$AA$5:$AI$5,0)+4,FALSE)</f>
        <v>7622.842704851566</v>
      </c>
      <c r="F14" s="7">
        <f>VLOOKUP($AP13,SAData!$W$7:$AI$40,MATCH(AZ$8,SAData!$AA$5:$AI$5,0)+4,FALSE)</f>
        <v>3615.09659619074</v>
      </c>
      <c r="G14" s="8">
        <f>VLOOKUP($AP13,SAData!$W$7:$AI$40,MATCH(BA$8,SAData!$AA$5:$AI$5,0)+4,FALSE)</f>
        <v>4157.405589288186</v>
      </c>
      <c r="H14" s="9">
        <f>VLOOKUP($AP13,SAData!$W$7:$AI$40,MATCH(BB$8,SAData!$AA$5:$AI$5,0)+4,FALSE)</f>
        <v>4880.463054528194</v>
      </c>
      <c r="I14" s="7">
        <f>VLOOKUP($AP13,SAData!$W$7:$AI$40,MATCH(BC$8,SAData!$AA$5:$AI$5,0)+4,FALSE)</f>
        <v>2033.4997824410118</v>
      </c>
      <c r="J14" s="8">
        <f>VLOOKUP($AP13,SAData!$W$7:$AI$40,MATCH(BD$8,SAData!$AA$5:$AI$5,0)+4,FALSE)</f>
        <v>2338.4770673048397</v>
      </c>
      <c r="K14" s="9">
        <f>VLOOKUP($AP13,SAData!$W$7:$AI$40,MATCH(BE$8,SAData!$AA$5:$AI$5,0)+4,FALSE)</f>
        <v>2745.177023793042</v>
      </c>
      <c r="L14" s="26"/>
      <c r="AO14">
        <f t="shared" si="1"/>
        <v>31</v>
      </c>
      <c r="AP14">
        <f>IF(ISNUMBER(VLOOKUP($AO14,OWData!$AI$4:$AL$94,2,FALSE)),AO14,AP15)</f>
        <v>31</v>
      </c>
      <c r="AR14" t="s">
        <v>1583</v>
      </c>
      <c r="AS14">
        <v>6</v>
      </c>
      <c r="AU14" t="s">
        <v>1017</v>
      </c>
      <c r="AX14" s="54" t="str">
        <f t="shared" si="2"/>
        <v>Korea             5,646   6,494   7,623</v>
      </c>
      <c r="BA14" s="54" t="str">
        <f t="shared" si="3"/>
        <v>Korea             3,615   4,157   4,880</v>
      </c>
      <c r="BD14" s="54" t="str">
        <f t="shared" si="4"/>
        <v>Korea             2,033   2,338   2,745</v>
      </c>
      <c r="BI14" s="54">
        <f t="shared" si="5"/>
      </c>
      <c r="BJ14" s="54"/>
      <c r="BK14" s="54"/>
      <c r="BL14" s="54">
        <f t="shared" si="6"/>
      </c>
      <c r="BM14" s="54"/>
      <c r="BN14" s="54"/>
      <c r="BO14" s="54">
        <f t="shared" si="7"/>
      </c>
    </row>
    <row r="15" spans="1:67" ht="12.75">
      <c r="A15" s="63">
        <f>VLOOKUP(AO14,SAData!$W$7:$AJ$40,14,FALSE)</f>
        <v>39563</v>
      </c>
      <c r="B15" s="13" t="str">
        <f>VLOOKUP(AO14,SAData!$W$7:$AI$40,3,FALSE)</f>
        <v>Hong Kong</v>
      </c>
      <c r="C15" s="7">
        <f>VLOOKUP($AP14,SAData!$W$7:$AI$40,MATCH(AW$8,SAData!$AA$5:$AI$5,0)+4,FALSE)</f>
        <v>5807.4986527061355</v>
      </c>
      <c r="D15" s="8">
        <f>VLOOKUP($AP14,SAData!$W$7:$AI$40,MATCH(AX$8,SAData!$AA$5:$AI$5,0)+4,FALSE)</f>
        <v>6677.79852182616</v>
      </c>
      <c r="E15" s="9">
        <f>VLOOKUP($AP14,SAData!$W$7:$AI$40,MATCH(AY$8,SAData!$AA$5:$AI$5,0)+4,FALSE)</f>
        <v>7840.123181153283</v>
      </c>
      <c r="F15" s="7">
        <f>VLOOKUP($AP14,SAData!$W$7:$AI$40,MATCH(AZ$8,SAData!$AA$5:$AI$5,0)+4,FALSE)</f>
        <v>4098.246208330126</v>
      </c>
      <c r="G15" s="8">
        <f>VLOOKUP($AP14,SAData!$W$7:$AI$40,MATCH(BA$8,SAData!$AA$5:$AI$5,0)+4,FALSE)</f>
        <v>4714.468011394257</v>
      </c>
      <c r="H15" s="9">
        <f>VLOOKUP($AP14,SAData!$W$7:$AI$40,MATCH(BB$8,SAData!$AA$5:$AI$5,0)+4,FALSE)</f>
        <v>5534.44722457464</v>
      </c>
      <c r="I15" s="7">
        <f>VLOOKUP($AP14,SAData!$W$7:$AI$40,MATCH(BC$8,SAData!$AA$5:$AI$5,0)+4,FALSE)</f>
        <v>1912.184925706367</v>
      </c>
      <c r="J15" s="8">
        <f>VLOOKUP($AP14,SAData!$W$7:$AI$40,MATCH(BD$8,SAData!$AA$5:$AI$5,0)+4,FALSE)</f>
        <v>2308.9756717222267</v>
      </c>
      <c r="K15" s="9">
        <f>VLOOKUP($AP14,SAData!$W$7:$AI$40,MATCH(BE$8,SAData!$AA$5:$AI$5,0)+4,FALSE)</f>
        <v>2709.891061667565</v>
      </c>
      <c r="L15" s="26"/>
      <c r="AO15">
        <f t="shared" si="1"/>
        <v>30</v>
      </c>
      <c r="AP15">
        <f>IF(ISNUMBER(VLOOKUP($AO15,OWData!$AI$4:$AL$94,2,FALSE)),AO15,AP16)</f>
        <v>30</v>
      </c>
      <c r="AR15" t="s">
        <v>1316</v>
      </c>
      <c r="AU15" t="s">
        <v>1201</v>
      </c>
      <c r="AX15" s="54" t="str">
        <f t="shared" si="2"/>
        <v>Hong Kong         5,807   6,678   7,840</v>
      </c>
      <c r="BA15" s="54" t="str">
        <f t="shared" si="3"/>
        <v>Hong Kong         4,098   4,714   5,534</v>
      </c>
      <c r="BD15" s="54" t="str">
        <f t="shared" si="4"/>
        <v>Hong Kong         1,912   2,309   2,710</v>
      </c>
      <c r="BI15" s="54">
        <f t="shared" si="5"/>
      </c>
      <c r="BJ15" s="54"/>
      <c r="BK15" s="54"/>
      <c r="BL15" s="54">
        <f t="shared" si="6"/>
      </c>
      <c r="BM15" s="54"/>
      <c r="BN15" s="54"/>
      <c r="BO15" s="54">
        <f t="shared" si="7"/>
      </c>
    </row>
    <row r="16" spans="1:67" ht="12.75">
      <c r="A16" s="63">
        <f>VLOOKUP(AO15,SAData!$W$7:$AJ$40,14,FALSE)</f>
        <v>39563</v>
      </c>
      <c r="B16" s="13" t="str">
        <f>VLOOKUP(AO15,SAData!$W$7:$AI$40,3,FALSE)</f>
        <v>Japan</v>
      </c>
      <c r="C16" s="7">
        <f>VLOOKUP($AP15,SAData!$W$7:$AI$40,MATCH(AW$8,SAData!$AA$5:$AI$5,0)+4,FALSE)</f>
        <v>5907.836678560095</v>
      </c>
      <c r="D16" s="8">
        <f>VLOOKUP($AP15,SAData!$W$7:$AI$40,MATCH(AX$8,SAData!$AA$5:$AI$5,0)+4,FALSE)</f>
        <v>7120.937208474788</v>
      </c>
      <c r="E16" s="9">
        <f>VLOOKUP($AP15,SAData!$W$7:$AI$40,MATCH(AY$8,SAData!$AA$5:$AI$5,0)+4,FALSE)</f>
        <v>8358.769655411188</v>
      </c>
      <c r="F16" s="7">
        <f>VLOOKUP($AP15,SAData!$W$7:$AI$40,MATCH(AZ$8,SAData!$AA$5:$AI$5,0)+4,FALSE)</f>
        <v>4057.8892853364628</v>
      </c>
      <c r="G16" s="8">
        <f>VLOOKUP($AP15,SAData!$W$7:$AI$40,MATCH(BA$8,SAData!$AA$5:$AI$5,0)+4,FALSE)</f>
        <v>4890.11829311688</v>
      </c>
      <c r="H16" s="9">
        <f>VLOOKUP($AP15,SAData!$W$7:$AI$40,MATCH(BB$8,SAData!$AA$5:$AI$5,0)+4,FALSE)</f>
        <v>5740.277940738034</v>
      </c>
      <c r="I16" s="7">
        <f>VLOOKUP($AP15,SAData!$W$7:$AI$40,MATCH(BC$8,SAData!$AA$5:$AI$5,0)+4,FALSE)</f>
        <v>2071.2980505679034</v>
      </c>
      <c r="J16" s="8">
        <f>VLOOKUP($AP15,SAData!$W$7:$AI$40,MATCH(BD$8,SAData!$AA$5:$AI$5,0)+4,FALSE)</f>
        <v>2499.778512968965</v>
      </c>
      <c r="K16" s="9">
        <f>VLOOKUP($AP15,SAData!$W$7:$AI$40,MATCH(BE$8,SAData!$AA$5:$AI$5,0)+4,FALSE)</f>
        <v>2934.4419546254535</v>
      </c>
      <c r="L16" s="26"/>
      <c r="AO16">
        <f t="shared" si="1"/>
        <v>29</v>
      </c>
      <c r="AP16">
        <f>IF(ISNUMBER(VLOOKUP($AO16,OWData!$AI$4:$AL$94,2,FALSE)),AO16,AP17)</f>
        <v>29</v>
      </c>
      <c r="AR16" t="s">
        <v>1317</v>
      </c>
      <c r="AU16" t="s">
        <v>1179</v>
      </c>
      <c r="AX16" s="54" t="str">
        <f t="shared" si="2"/>
        <v>Japan             5,908   7,121   8,359</v>
      </c>
      <c r="BA16" s="54" t="str">
        <f t="shared" si="3"/>
        <v>Japan             4,058   4,890   5,740</v>
      </c>
      <c r="BD16" s="54" t="str">
        <f t="shared" si="4"/>
        <v>Japan             2,071   2,500   2,934</v>
      </c>
      <c r="BI16" s="54">
        <f t="shared" si="5"/>
      </c>
      <c r="BJ16" s="54"/>
      <c r="BK16" s="54"/>
      <c r="BL16" s="54">
        <f t="shared" si="6"/>
      </c>
      <c r="BM16" s="54"/>
      <c r="BN16" s="54"/>
      <c r="BO16" s="54">
        <f t="shared" si="7"/>
      </c>
    </row>
    <row r="17" spans="1:67" ht="12.75">
      <c r="A17" s="63">
        <f>VLOOKUP(AO16,SAData!$W$7:$AJ$40,14,FALSE)</f>
        <v>39563</v>
      </c>
      <c r="B17" s="13" t="str">
        <f>VLOOKUP(AO16,SAData!$W$7:$AI$40,3,FALSE)</f>
        <v>Taiwan</v>
      </c>
      <c r="C17" s="7">
        <f>VLOOKUP($AP16,SAData!$W$7:$AI$40,MATCH(AW$8,SAData!$AA$5:$AI$5,0)+4,FALSE)</f>
        <v>6276.483763699685</v>
      </c>
      <c r="D17" s="8">
        <f>VLOOKUP($AP16,SAData!$W$7:$AI$40,MATCH(AX$8,SAData!$AA$5:$AI$5,0)+4,FALSE)</f>
        <v>7216.796749460538</v>
      </c>
      <c r="E17" s="9">
        <f>VLOOKUP($AP16,SAData!$W$7:$AI$40,MATCH(AY$8,SAData!$AA$5:$AI$5,0)+4,FALSE)</f>
        <v>8473.358497248584</v>
      </c>
      <c r="F17" s="7">
        <f>VLOOKUP($AP16,SAData!$W$7:$AI$40,MATCH(AZ$8,SAData!$AA$5:$AI$5,0)+4,FALSE)</f>
        <v>4429.59099346088</v>
      </c>
      <c r="G17" s="8">
        <f>VLOOKUP($AP16,SAData!$W$7:$AI$40,MATCH(BA$8,SAData!$AA$5:$AI$5,0)+4,FALSE)</f>
        <v>5095.821718798166</v>
      </c>
      <c r="H17" s="9">
        <f>VLOOKUP($AP16,SAData!$W$7:$AI$40,MATCH(BB$8,SAData!$AA$5:$AI$5,0)+4,FALSE)</f>
        <v>5981.318252474306</v>
      </c>
      <c r="I17" s="7">
        <f>VLOOKUP($AP16,SAData!$W$7:$AI$40,MATCH(BC$8,SAData!$AA$5:$AI$5,0)+4,FALSE)</f>
        <v>2068.266903657841</v>
      </c>
      <c r="J17" s="8">
        <f>VLOOKUP($AP16,SAData!$W$7:$AI$40,MATCH(BD$8,SAData!$AA$5:$AI$5,0)+4,FALSE)</f>
        <v>2496.256894934642</v>
      </c>
      <c r="K17" s="9">
        <f>VLOOKUP($AP16,SAData!$W$7:$AI$40,MATCH(BE$8,SAData!$AA$5:$AI$5,0)+4,FALSE)</f>
        <v>2928.4635363718053</v>
      </c>
      <c r="L17" s="26"/>
      <c r="AO17">
        <f t="shared" si="1"/>
        <v>28</v>
      </c>
      <c r="AP17">
        <f>IF(ISNUMBER(VLOOKUP($AO17,OWData!$AI$4:$AL$94,2,FALSE)),AO17,AP18)</f>
        <v>28</v>
      </c>
      <c r="AR17" t="s">
        <v>1342</v>
      </c>
      <c r="AU17" t="s">
        <v>1203</v>
      </c>
      <c r="AX17" s="54" t="str">
        <f t="shared" si="2"/>
        <v>Taiwan            6,276   7,217   8,473</v>
      </c>
      <c r="BA17" s="54" t="str">
        <f t="shared" si="3"/>
        <v>Taiwan            4,430   5,096   5,981</v>
      </c>
      <c r="BD17" s="54" t="str">
        <f t="shared" si="4"/>
        <v>Taiwan            2,068   2,496   2,928</v>
      </c>
      <c r="BI17" s="54">
        <f t="shared" si="5"/>
      </c>
      <c r="BJ17" s="54"/>
      <c r="BK17" s="54"/>
      <c r="BL17" s="54">
        <f t="shared" si="6"/>
      </c>
      <c r="BM17" s="54"/>
      <c r="BN17" s="54"/>
      <c r="BO17" s="54">
        <f t="shared" si="7"/>
      </c>
    </row>
    <row r="18" spans="1:67" ht="12.75">
      <c r="A18" s="63">
        <f>VLOOKUP(AO17,SAData!$W$7:$AJ$40,14,FALSE)</f>
        <v>39563</v>
      </c>
      <c r="B18" s="13" t="str">
        <f>VLOOKUP(AO17,SAData!$W$7:$AI$40,3,FALSE)</f>
        <v>Sri Lanka</v>
      </c>
      <c r="C18" s="7">
        <f>VLOOKUP($AP17,SAData!$W$7:$AI$40,MATCH(AW$8,SAData!$AA$5:$AI$5,0)+4,FALSE)</f>
        <v>6783.2379</v>
      </c>
      <c r="D18" s="8">
        <f>VLOOKUP($AP17,SAData!$W$7:$AI$40,MATCH(AX$8,SAData!$AA$5:$AI$5,0)+4,FALSE)</f>
        <v>7801.5915</v>
      </c>
      <c r="E18" s="9">
        <f>VLOOKUP($AP17,SAData!$W$7:$AI$40,MATCH(AY$8,SAData!$AA$5:$AI$5,0)+4,FALSE)</f>
        <v>9156.824700000001</v>
      </c>
      <c r="F18" s="7">
        <f>VLOOKUP($AP17,SAData!$W$7:$AI$40,MATCH(AZ$8,SAData!$AA$5:$AI$5,0)+4,FALSE)</f>
        <v>3970.5504</v>
      </c>
      <c r="G18" s="8">
        <f>VLOOKUP($AP17,SAData!$W$7:$AI$40,MATCH(BA$8,SAData!$AA$5:$AI$5,0)+4,FALSE)</f>
        <v>4571.6619</v>
      </c>
      <c r="H18" s="9">
        <f>VLOOKUP($AP17,SAData!$W$7:$AI$40,MATCH(BB$8,SAData!$AA$5:$AI$5,0)+4,FALSE)</f>
        <v>5361.786</v>
      </c>
      <c r="I18" s="7">
        <f>VLOOKUP($AP17,SAData!$W$7:$AI$40,MATCH(BC$8,SAData!$AA$5:$AI$5,0)+4,FALSE)</f>
        <v>2000.7048</v>
      </c>
      <c r="J18" s="8">
        <f>VLOOKUP($AP17,SAData!$W$7:$AI$40,MATCH(BD$8,SAData!$AA$5:$AI$5,0)+4,FALSE)</f>
        <v>2299.0104</v>
      </c>
      <c r="K18" s="9">
        <f>VLOOKUP($AP17,SAData!$W$7:$AI$40,MATCH(BE$8,SAData!$AA$5:$AI$5,0)+4,FALSE)</f>
        <v>2699.5371</v>
      </c>
      <c r="L18" s="26"/>
      <c r="AO18">
        <f t="shared" si="1"/>
        <v>27</v>
      </c>
      <c r="AP18">
        <f>IF(ISNUMBER(VLOOKUP($AO18,OWData!$AI$4:$AL$94,2,FALSE)),AO18,AP19)</f>
        <v>27</v>
      </c>
      <c r="AR18" t="s">
        <v>1308</v>
      </c>
      <c r="AU18" t="s">
        <v>1393</v>
      </c>
      <c r="AX18" s="54" t="str">
        <f t="shared" si="2"/>
        <v>Sri Lanka         6,783   7,802   9,157</v>
      </c>
      <c r="BA18" s="54" t="str">
        <f t="shared" si="3"/>
        <v>Sri Lanka         3,971   4,572   5,362</v>
      </c>
      <c r="BD18" s="54" t="str">
        <f t="shared" si="4"/>
        <v>Sri Lanka         2,001   2,299   2,700</v>
      </c>
      <c r="BI18" s="54">
        <f t="shared" si="5"/>
      </c>
      <c r="BJ18" s="54"/>
      <c r="BK18" s="54"/>
      <c r="BL18" s="54">
        <f t="shared" si="6"/>
      </c>
      <c r="BM18" s="54"/>
      <c r="BN18" s="54"/>
      <c r="BO18" s="54">
        <f t="shared" si="7"/>
      </c>
    </row>
    <row r="19" spans="1:67" ht="12.75">
      <c r="A19" s="63">
        <f>VLOOKUP(AO18,SAData!$W$7:$AJ$40,14,FALSE)</f>
        <v>39563</v>
      </c>
      <c r="B19" s="13" t="str">
        <f>VLOOKUP(AO18,SAData!$W$7:$AI$40,3,FALSE)</f>
        <v>Thailand</v>
      </c>
      <c r="C19" s="7">
        <f>VLOOKUP($AP18,SAData!$W$7:$AI$40,MATCH(AW$8,SAData!$AA$5:$AI$5,0)+4,FALSE)</f>
        <v>6793.824827171249</v>
      </c>
      <c r="D19" s="8">
        <f>VLOOKUP($AP18,SAData!$W$7:$AI$40,MATCH(AX$8,SAData!$AA$5:$AI$5,0)+4,FALSE)</f>
        <v>7808.838897907252</v>
      </c>
      <c r="E19" s="9">
        <f>VLOOKUP($AP18,SAData!$W$7:$AI$40,MATCH(AY$8,SAData!$AA$5:$AI$5,0)+4,FALSE)</f>
        <v>9167.56356901555</v>
      </c>
      <c r="F19" s="7">
        <f>VLOOKUP($AP18,SAData!$W$7:$AI$40,MATCH(AZ$8,SAData!$AA$5:$AI$5,0)+4,FALSE)</f>
        <v>4457.962751722021</v>
      </c>
      <c r="G19" s="8">
        <f>VLOOKUP($AP18,SAData!$W$7:$AI$40,MATCH(BA$8,SAData!$AA$5:$AI$5,0)+4,FALSE)</f>
        <v>5129.266222085728</v>
      </c>
      <c r="H19" s="9">
        <f>VLOOKUP($AP18,SAData!$W$7:$AI$40,MATCH(BB$8,SAData!$AA$5:$AI$5,0)+4,FALSE)</f>
        <v>6018.360524221095</v>
      </c>
      <c r="I19" s="7">
        <f>VLOOKUP($AP18,SAData!$W$7:$AI$40,MATCH(BC$8,SAData!$AA$5:$AI$5,0)+4,FALSE)</f>
        <v>2135.196332207257</v>
      </c>
      <c r="J19" s="8">
        <f>VLOOKUP($AP18,SAData!$W$7:$AI$40,MATCH(BD$8,SAData!$AA$5:$AI$5,0)+4,FALSE)</f>
        <v>2455.7376951570345</v>
      </c>
      <c r="K19" s="9">
        <f>VLOOKUP($AP18,SAData!$W$7:$AI$40,MATCH(BE$8,SAData!$AA$5:$AI$5,0)+4,FALSE)</f>
        <v>2882.656078620629</v>
      </c>
      <c r="L19" s="26"/>
      <c r="AO19">
        <f t="shared" si="1"/>
        <v>26</v>
      </c>
      <c r="AP19">
        <f>IF(ISNUMBER(VLOOKUP($AO19,OWData!$AI$4:$AL$94,2,FALSE)),AO19,AP20)</f>
        <v>26</v>
      </c>
      <c r="AR19" t="s">
        <v>1169</v>
      </c>
      <c r="AU19" t="s">
        <v>1394</v>
      </c>
      <c r="AX19" s="54" t="str">
        <f t="shared" si="2"/>
        <v>Thailand          6,794   7,809   9,168</v>
      </c>
      <c r="BA19" s="54" t="str">
        <f t="shared" si="3"/>
        <v>Thailand          4,458   5,129   6,018</v>
      </c>
      <c r="BD19" s="54" t="str">
        <f t="shared" si="4"/>
        <v>Thailand          2,135   2,456   2,883</v>
      </c>
      <c r="BI19" s="54">
        <f t="shared" si="5"/>
      </c>
      <c r="BJ19" s="54"/>
      <c r="BK19" s="54"/>
      <c r="BL19" s="54">
        <f t="shared" si="6"/>
      </c>
      <c r="BM19" s="54"/>
      <c r="BN19" s="54"/>
      <c r="BO19" s="54">
        <f t="shared" si="7"/>
      </c>
    </row>
    <row r="20" spans="1:67" ht="12.75">
      <c r="A20" s="63">
        <f>VLOOKUP(AO19,SAData!$W$7:$AJ$40,14,FALSE)</f>
        <v>39563</v>
      </c>
      <c r="B20" s="13" t="str">
        <f>VLOOKUP(AO19,SAData!$W$7:$AI$40,3,FALSE)</f>
        <v>Argentina</v>
      </c>
      <c r="C20" s="7">
        <f>VLOOKUP($AP19,SAData!$W$7:$AI$40,MATCH(AW$8,SAData!$AA$5:$AI$5,0)+4,FALSE)</f>
        <v>6877.87843752</v>
      </c>
      <c r="D20" s="8">
        <f>VLOOKUP($AP19,SAData!$W$7:$AI$40,MATCH(AX$8,SAData!$AA$5:$AI$5,0)+4,FALSE)</f>
        <v>7885.47606336</v>
      </c>
      <c r="E20" s="9">
        <f>VLOOKUP($AP19,SAData!$W$7:$AI$40,MATCH(AY$8,SAData!$AA$5:$AI$5,0)+4,FALSE)</f>
        <v>9274.93005888</v>
      </c>
      <c r="F20" s="7">
        <f>VLOOKUP($AP19,SAData!$W$7:$AI$40,MATCH(AZ$8,SAData!$AA$5:$AI$5,0)+4,FALSE)</f>
        <v>5049.35048664</v>
      </c>
      <c r="G20" s="8">
        <f>VLOOKUP($AP19,SAData!$W$7:$AI$40,MATCH(BA$8,SAData!$AA$5:$AI$5,0)+4,FALSE)</f>
        <v>5785.063130879999</v>
      </c>
      <c r="H20" s="9">
        <f>VLOOKUP($AP19,SAData!$W$7:$AI$40,MATCH(BB$8,SAData!$AA$5:$AI$5,0)+4,FALSE)</f>
        <v>6788.19697344</v>
      </c>
      <c r="I20" s="7">
        <f>VLOOKUP($AP19,SAData!$W$7:$AI$40,MATCH(BC$8,SAData!$AA$5:$AI$5,0)+4,FALSE)</f>
        <v>1977.0501945600001</v>
      </c>
      <c r="J20" s="8">
        <f>VLOOKUP($AP19,SAData!$W$7:$AI$40,MATCH(BD$8,SAData!$AA$5:$AI$5,0)+4,FALSE)</f>
        <v>2249.74677312</v>
      </c>
      <c r="K20" s="9">
        <f>VLOOKUP($AP19,SAData!$W$7:$AI$40,MATCH(BE$8,SAData!$AA$5:$AI$5,0)+4,FALSE)</f>
        <v>2658.79164096</v>
      </c>
      <c r="L20" s="26"/>
      <c r="AO20">
        <f t="shared" si="1"/>
        <v>25</v>
      </c>
      <c r="AP20">
        <f>IF(ISNUMBER(VLOOKUP($AO20,OWData!$AI$4:$AL$94,2,FALSE)),AO20,AP21)</f>
        <v>25</v>
      </c>
      <c r="AR20" t="s">
        <v>1330</v>
      </c>
      <c r="AU20" t="s">
        <v>1395</v>
      </c>
      <c r="AX20" s="54" t="str">
        <f t="shared" si="2"/>
        <v>Argentina         6,878   7,885   9,275</v>
      </c>
      <c r="BA20" s="54" t="str">
        <f t="shared" si="3"/>
        <v>Argentina         5,049   5,785   6,788</v>
      </c>
      <c r="BD20" s="54" t="str">
        <f t="shared" si="4"/>
        <v>Argentina         1,977   2,250   2,659</v>
      </c>
      <c r="BI20" s="54">
        <f t="shared" si="5"/>
      </c>
      <c r="BJ20" s="54"/>
      <c r="BK20" s="54"/>
      <c r="BL20" s="54">
        <f t="shared" si="6"/>
      </c>
      <c r="BM20" s="54"/>
      <c r="BN20" s="54"/>
      <c r="BO20" s="54">
        <f t="shared" si="7"/>
      </c>
    </row>
    <row r="21" spans="1:67" ht="12.75">
      <c r="A21" s="63">
        <f>VLOOKUP(AO20,SAData!$W$7:$AJ$40,14,FALSE)</f>
        <v>39563</v>
      </c>
      <c r="B21" s="13" t="str">
        <f>VLOOKUP(AO20,SAData!$W$7:$AI$40,3,FALSE)</f>
        <v>India</v>
      </c>
      <c r="C21" s="7">
        <f>VLOOKUP($AP20,SAData!$W$7:$AI$40,MATCH(AW$8,SAData!$AA$5:$AI$5,0)+4,FALSE)</f>
        <v>7108.718760799804</v>
      </c>
      <c r="D21" s="8">
        <f>VLOOKUP($AP20,SAData!$W$7:$AI$40,MATCH(AX$8,SAData!$AA$5:$AI$5,0)+4,FALSE)</f>
        <v>8176.304122438905</v>
      </c>
      <c r="E21" s="9">
        <f>VLOOKUP($AP20,SAData!$W$7:$AI$40,MATCH(AY$8,SAData!$AA$5:$AI$5,0)+4,FALSE)</f>
        <v>9596.206936558876</v>
      </c>
      <c r="F21" s="7">
        <f>VLOOKUP($AP20,SAData!$W$7:$AI$40,MATCH(AZ$8,SAData!$AA$5:$AI$5,0)+4,FALSE)</f>
        <v>4161.154776598371</v>
      </c>
      <c r="G21" s="8">
        <f>VLOOKUP($AP20,SAData!$W$7:$AI$40,MATCH(BA$8,SAData!$AA$5:$AI$5,0)+4,FALSE)</f>
        <v>4790.882547519132</v>
      </c>
      <c r="H21" s="9">
        <f>VLOOKUP($AP20,SAData!$W$7:$AI$40,MATCH(BB$8,SAData!$AA$5:$AI$5,0)+4,FALSE)</f>
        <v>5619.4633670698595</v>
      </c>
      <c r="I21" s="7">
        <f>VLOOKUP($AP20,SAData!$W$7:$AI$40,MATCH(BC$8,SAData!$AA$5:$AI$5,0)+4,FALSE)</f>
        <v>2096.1301407059987</v>
      </c>
      <c r="J21" s="8">
        <f>VLOOKUP($AP20,SAData!$W$7:$AI$40,MATCH(BD$8,SAData!$AA$5:$AI$5,0)+4,FALSE)</f>
        <v>2409.08960750432</v>
      </c>
      <c r="K21" s="9">
        <f>VLOOKUP($AP20,SAData!$W$7:$AI$40,MATCH(BE$8,SAData!$AA$5:$AI$5,0)+4,FALSE)</f>
        <v>2828.8552209331033</v>
      </c>
      <c r="L21" s="26"/>
      <c r="AO21">
        <f t="shared" si="1"/>
        <v>24</v>
      </c>
      <c r="AP21">
        <f>IF(ISNUMBER(VLOOKUP($AO21,OWData!$AI$4:$AL$94,2,FALSE)),AO21,AP22)</f>
        <v>24</v>
      </c>
      <c r="AR21" t="s">
        <v>1318</v>
      </c>
      <c r="AU21" t="s">
        <v>1019</v>
      </c>
      <c r="AX21" s="54" t="str">
        <f t="shared" si="2"/>
        <v>India             7,109   8,176   9,596</v>
      </c>
      <c r="BA21" s="54" t="str">
        <f t="shared" si="3"/>
        <v>India             4,161   4,791   5,619</v>
      </c>
      <c r="BD21" s="54" t="str">
        <f t="shared" si="4"/>
        <v>India             2,096   2,409   2,829</v>
      </c>
      <c r="BI21" s="54">
        <f t="shared" si="5"/>
      </c>
      <c r="BJ21" s="54"/>
      <c r="BK21" s="54"/>
      <c r="BL21" s="54">
        <f t="shared" si="6"/>
      </c>
      <c r="BM21" s="54"/>
      <c r="BN21" s="54"/>
      <c r="BO21" s="54">
        <f t="shared" si="7"/>
      </c>
    </row>
    <row r="22" spans="1:67" ht="12.75">
      <c r="A22" s="63">
        <f>VLOOKUP(AO21,SAData!$W$7:$AJ$40,14,FALSE)</f>
        <v>39563</v>
      </c>
      <c r="B22" s="13" t="str">
        <f>VLOOKUP(AO21,SAData!$W$7:$AI$40,3,FALSE)</f>
        <v>Australia</v>
      </c>
      <c r="C22" s="7">
        <f>VLOOKUP($AP21,SAData!$W$7:$AI$40,MATCH(AW$8,SAData!$AA$5:$AI$5,0)+4,FALSE)</f>
        <v>8487.341747208407</v>
      </c>
      <c r="D22" s="8">
        <f>VLOOKUP($AP21,SAData!$W$7:$AI$40,MATCH(AX$8,SAData!$AA$5:$AI$5,0)+4,FALSE)</f>
        <v>9114.73782490382</v>
      </c>
      <c r="E22" s="9">
        <f>VLOOKUP($AP21,SAData!$W$7:$AI$40,MATCH(AY$8,SAData!$AA$5:$AI$5,0)+4,FALSE)</f>
        <v>9742.133902599231</v>
      </c>
      <c r="F22" s="7">
        <f>VLOOKUP($AP21,SAData!$W$7:$AI$40,MATCH(AZ$8,SAData!$AA$5:$AI$5,0)+4,FALSE)</f>
        <v>6026.018673172563</v>
      </c>
      <c r="G22" s="8">
        <f>VLOOKUP($AP21,SAData!$W$7:$AI$40,MATCH(BA$8,SAData!$AA$5:$AI$5,0)+4,FALSE)</f>
        <v>6713.741296800225</v>
      </c>
      <c r="H22" s="9">
        <f>VLOOKUP($AP21,SAData!$W$7:$AI$40,MATCH(BB$8,SAData!$AA$5:$AI$5,0)+4,FALSE)</f>
        <v>7552.2802852585155</v>
      </c>
      <c r="I22" s="7">
        <f>VLOOKUP($AP21,SAData!$W$7:$AI$40,MATCH(BC$8,SAData!$AA$5:$AI$5,0)+4,FALSE)</f>
        <v>1947.944168152388</v>
      </c>
      <c r="J22" s="8">
        <f>VLOOKUP($AP21,SAData!$W$7:$AI$40,MATCH(BD$8,SAData!$AA$5:$AI$5,0)+4,FALSE)</f>
        <v>2279.740170779769</v>
      </c>
      <c r="K22" s="9">
        <f>VLOOKUP($AP21,SAData!$W$7:$AI$40,MATCH(BE$8,SAData!$AA$5:$AI$5,0)+4,FALSE)</f>
        <v>2659.797410152951</v>
      </c>
      <c r="L22" s="26"/>
      <c r="AO22">
        <f t="shared" si="1"/>
        <v>23</v>
      </c>
      <c r="AP22">
        <f>IF(ISNUMBER(VLOOKUP($AO22,OWData!$AI$4:$AL$94,2,FALSE)),AO22,AP23)</f>
        <v>23</v>
      </c>
      <c r="AR22" t="s">
        <v>1270</v>
      </c>
      <c r="AU22" t="s">
        <v>1396</v>
      </c>
      <c r="AX22" s="54" t="str">
        <f t="shared" si="2"/>
        <v>Australia         8,487   9,115   9,742</v>
      </c>
      <c r="BA22" s="54" t="str">
        <f t="shared" si="3"/>
        <v>Australia         6,026   6,714   7,552</v>
      </c>
      <c r="BD22" s="54" t="str">
        <f t="shared" si="4"/>
        <v>Australia         1,948   2,280   2,660</v>
      </c>
      <c r="BI22" s="54">
        <f t="shared" si="5"/>
      </c>
      <c r="BJ22" s="54"/>
      <c r="BK22" s="54"/>
      <c r="BL22" s="54">
        <f t="shared" si="6"/>
      </c>
      <c r="BM22" s="54"/>
      <c r="BN22" s="54"/>
      <c r="BO22" s="54">
        <f t="shared" si="7"/>
      </c>
    </row>
    <row r="23" spans="1:67" ht="12.75">
      <c r="A23" s="63">
        <f>VLOOKUP(AO22,SAData!$W$7:$AJ$40,14,FALSE)</f>
        <v>39563</v>
      </c>
      <c r="B23" s="13" t="str">
        <f>VLOOKUP(AO22,SAData!$W$7:$AI$40,3,FALSE)</f>
        <v>USA</v>
      </c>
      <c r="C23" s="7">
        <f>VLOOKUP($AP22,SAData!$W$7:$AI$40,MATCH(AW$8,SAData!$AA$5:$AI$5,0)+4,FALSE)</f>
        <v>7354.776000000001</v>
      </c>
      <c r="D23" s="8">
        <f>VLOOKUP($AP22,SAData!$W$7:$AI$40,MATCH(AX$8,SAData!$AA$5:$AI$5,0)+4,FALSE)</f>
        <v>8415.561</v>
      </c>
      <c r="E23" s="9">
        <f>VLOOKUP($AP22,SAData!$W$7:$AI$40,MATCH(AY$8,SAData!$AA$5:$AI$5,0)+4,FALSE)</f>
        <v>9900.66</v>
      </c>
      <c r="F23" s="7">
        <f>VLOOKUP($AP22,SAData!$W$7:$AI$40,MATCH(AZ$8,SAData!$AA$5:$AI$5,0)+4,FALSE)</f>
        <v>5066.052000000001</v>
      </c>
      <c r="G23" s="8">
        <f>VLOOKUP($AP22,SAData!$W$7:$AI$40,MATCH(BA$8,SAData!$AA$5:$AI$5,0)+4,FALSE)</f>
        <v>5794.4577</v>
      </c>
      <c r="H23" s="9">
        <f>VLOOKUP($AP22,SAData!$W$7:$AI$40,MATCH(BB$8,SAData!$AA$5:$AI$5,0)+4,FALSE)</f>
        <v>6787.738200000001</v>
      </c>
      <c r="I23" s="7">
        <f>VLOOKUP($AP22,SAData!$W$7:$AI$40,MATCH(BC$8,SAData!$AA$5:$AI$5,0)+4,FALSE)</f>
        <v>2615.9601000000002</v>
      </c>
      <c r="J23" s="8">
        <f>VLOOKUP($AP22,SAData!$W$7:$AI$40,MATCH(BD$8,SAData!$AA$5:$AI$5,0)+4,FALSE)</f>
        <v>3013.2723</v>
      </c>
      <c r="K23" s="9">
        <f>VLOOKUP($AP22,SAData!$W$7:$AI$40,MATCH(BE$8,SAData!$AA$5:$AI$5,0)+4,FALSE)</f>
        <v>3543.0219</v>
      </c>
      <c r="L23" s="26"/>
      <c r="AO23">
        <f t="shared" si="1"/>
        <v>22</v>
      </c>
      <c r="AP23">
        <f>IF(ISNUMBER(VLOOKUP($AO23,OWData!$AI$4:$AL$94,2,FALSE)),AO23,AP24)</f>
        <v>22</v>
      </c>
      <c r="AR23" t="s">
        <v>1319</v>
      </c>
      <c r="AU23" t="s">
        <v>1397</v>
      </c>
      <c r="AX23" s="54" t="str">
        <f t="shared" si="2"/>
        <v>USA               7,355   8,416   9,901</v>
      </c>
      <c r="BA23" s="54" t="str">
        <f t="shared" si="3"/>
        <v>USA               5,066   5,794   6,788</v>
      </c>
      <c r="BD23" s="54" t="str">
        <f t="shared" si="4"/>
        <v>USA               2,616   3,013   3,543</v>
      </c>
      <c r="BI23" s="54">
        <f t="shared" si="5"/>
      </c>
      <c r="BJ23" s="54"/>
      <c r="BK23" s="54"/>
      <c r="BL23" s="54">
        <f t="shared" si="6"/>
      </c>
      <c r="BM23" s="54"/>
      <c r="BN23" s="54"/>
      <c r="BO23" s="54">
        <f t="shared" si="7"/>
      </c>
    </row>
    <row r="24" spans="1:67" ht="12.75">
      <c r="A24" s="63">
        <f>VLOOKUP(AO23,SAData!$W$7:$AJ$40,14,FALSE)</f>
        <v>39563</v>
      </c>
      <c r="B24" s="13" t="str">
        <f>VLOOKUP(AO23,SAData!$W$7:$AI$40,3,FALSE)</f>
        <v>China</v>
      </c>
      <c r="C24" s="7">
        <f>VLOOKUP($AP23,SAData!$W$7:$AI$40,MATCH(AW$8,SAData!$AA$5:$AI$5,0)+4,FALSE)</f>
        <v>7466.587411588198</v>
      </c>
      <c r="D24" s="8">
        <f>VLOOKUP($AP23,SAData!$W$7:$AI$40,MATCH(AX$8,SAData!$AA$5:$AI$5,0)+4,FALSE)</f>
        <v>8585.473172822749</v>
      </c>
      <c r="E24" s="9">
        <f>VLOOKUP($AP23,SAData!$W$7:$AI$40,MATCH(AY$8,SAData!$AA$5:$AI$5,0)+4,FALSE)</f>
        <v>10080.076730728015</v>
      </c>
      <c r="F24" s="7">
        <f>VLOOKUP($AP23,SAData!$W$7:$AI$40,MATCH(AZ$8,SAData!$AA$5:$AI$5,0)+4,FALSE)</f>
        <v>4848.504965349718</v>
      </c>
      <c r="G24" s="8">
        <f>VLOOKUP($AP23,SAData!$W$7:$AI$40,MATCH(BA$8,SAData!$AA$5:$AI$5,0)+4,FALSE)</f>
        <v>5576.9749231978285</v>
      </c>
      <c r="H24" s="9">
        <f>VLOOKUP($AP23,SAData!$W$7:$AI$40,MATCH(BB$8,SAData!$AA$5:$AI$5,0)+4,FALSE)</f>
        <v>6547.043366435665</v>
      </c>
      <c r="I24" s="7">
        <f>VLOOKUP($AP23,SAData!$W$7:$AI$40,MATCH(BC$8,SAData!$AA$5:$AI$5,0)+4,FALSE)</f>
        <v>2444.4622419089806</v>
      </c>
      <c r="J24" s="8">
        <f>VLOOKUP($AP23,SAData!$W$7:$AI$40,MATCH(BD$8,SAData!$AA$5:$AI$5,0)+4,FALSE)</f>
        <v>2810.9937843823677</v>
      </c>
      <c r="K24" s="9">
        <f>VLOOKUP($AP23,SAData!$W$7:$AI$40,MATCH(BE$8,SAData!$AA$5:$AI$5,0)+4,FALSE)</f>
        <v>3300.6211330999504</v>
      </c>
      <c r="L24" s="26"/>
      <c r="AO24">
        <f t="shared" si="1"/>
        <v>21</v>
      </c>
      <c r="AP24">
        <f>IF(ISNUMBER(VLOOKUP($AO24,OWData!$AI$4:$AL$94,2,FALSE)),AO24,AP25)</f>
        <v>21</v>
      </c>
      <c r="AR24" t="s">
        <v>1272</v>
      </c>
      <c r="AU24" t="s">
        <v>1424</v>
      </c>
      <c r="AX24" s="54" t="str">
        <f t="shared" si="2"/>
        <v>China             7,467   8,585   10,080</v>
      </c>
      <c r="BA24" s="54" t="str">
        <f t="shared" si="3"/>
        <v>China             4,849   5,577   6,547</v>
      </c>
      <c r="BD24" s="54" t="str">
        <f t="shared" si="4"/>
        <v>China             2,444   2,811   3,301</v>
      </c>
      <c r="BI24" s="54">
        <f t="shared" si="5"/>
      </c>
      <c r="BJ24" s="54"/>
      <c r="BK24" s="54"/>
      <c r="BL24" s="54">
        <f t="shared" si="6"/>
      </c>
      <c r="BM24" s="54"/>
      <c r="BN24" s="54"/>
      <c r="BO24" s="54">
        <f t="shared" si="7"/>
      </c>
    </row>
    <row r="25" spans="1:67" ht="12.75">
      <c r="A25" s="63">
        <f>VLOOKUP(AO24,SAData!$W$7:$AJ$40,14,FALSE)</f>
        <v>39563</v>
      </c>
      <c r="B25" s="13" t="str">
        <f>VLOOKUP(AO24,SAData!$W$7:$AI$40,3,FALSE)</f>
        <v>Malaysia</v>
      </c>
      <c r="C25" s="7">
        <f>VLOOKUP($AP24,SAData!$W$7:$AI$40,MATCH(AW$8,SAData!$AA$5:$AI$5,0)+4,FALSE)</f>
        <v>7915.318714460746</v>
      </c>
      <c r="D25" s="8">
        <f>VLOOKUP($AP24,SAData!$W$7:$AI$40,MATCH(AX$8,SAData!$AA$5:$AI$5,0)+4,FALSE)</f>
        <v>9133.215418931231</v>
      </c>
      <c r="E25" s="9">
        <f>VLOOKUP($AP24,SAData!$W$7:$AI$40,MATCH(AY$8,SAData!$AA$5:$AI$5,0)+4,FALSE)</f>
        <v>10706.584461688291</v>
      </c>
      <c r="F25" s="7">
        <f>VLOOKUP($AP24,SAData!$W$7:$AI$40,MATCH(AZ$8,SAData!$AA$5:$AI$5,0)+4,FALSE)</f>
        <v>5328.04561590902</v>
      </c>
      <c r="G25" s="8">
        <f>VLOOKUP($AP24,SAData!$W$7:$AI$40,MATCH(BA$8,SAData!$AA$5:$AI$5,0)+4,FALSE)</f>
        <v>6139.976752222676</v>
      </c>
      <c r="H25" s="9">
        <f>VLOOKUP($AP24,SAData!$W$7:$AI$40,MATCH(BB$8,SAData!$AA$5:$AI$5,0)+4,FALSE)</f>
        <v>7256.886996952656</v>
      </c>
      <c r="I25" s="7">
        <f>VLOOKUP($AP24,SAData!$W$7:$AI$40,MATCH(BC$8,SAData!$AA$5:$AI$5,0)+4,FALSE)</f>
        <v>2421.655304577299</v>
      </c>
      <c r="J25" s="8">
        <f>VLOOKUP($AP24,SAData!$W$7:$AI$40,MATCH(BD$8,SAData!$AA$5:$AI$5,0)+4,FALSE)</f>
        <v>2809.443309980836</v>
      </c>
      <c r="K25" s="9">
        <f>VLOOKUP($AP24,SAData!$W$7:$AI$40,MATCH(BE$8,SAData!$AA$5:$AI$5,0)+4,FALSE)</f>
        <v>3247.7245452546263</v>
      </c>
      <c r="L25" s="26"/>
      <c r="AO25">
        <f t="shared" si="1"/>
        <v>20</v>
      </c>
      <c r="AP25">
        <f>IF(ISNUMBER(VLOOKUP($AO25,OWData!$AI$4:$AL$94,2,FALSE)),AO25,AP26)</f>
        <v>20</v>
      </c>
      <c r="AR25" t="s">
        <v>1344</v>
      </c>
      <c r="AU25" t="s">
        <v>1022</v>
      </c>
      <c r="AX25" s="54" t="str">
        <f t="shared" si="2"/>
        <v>Malaysia          7,915   9,133   10,707</v>
      </c>
      <c r="BA25" s="54" t="str">
        <f t="shared" si="3"/>
        <v>Malaysia          5,328   6,140   7,257</v>
      </c>
      <c r="BD25" s="54" t="str">
        <f t="shared" si="4"/>
        <v>Malaysia          2,422   2,809   3,248</v>
      </c>
      <c r="BI25" s="54">
        <f t="shared" si="5"/>
      </c>
      <c r="BJ25" s="54"/>
      <c r="BK25" s="54"/>
      <c r="BL25" s="54">
        <f t="shared" si="6"/>
      </c>
      <c r="BM25" s="54"/>
      <c r="BN25" s="54"/>
      <c r="BO25" s="54">
        <f t="shared" si="7"/>
      </c>
    </row>
    <row r="26" spans="1:67" ht="12.75">
      <c r="A26" s="63">
        <f>VLOOKUP(AO25,SAData!$W$7:$AJ$40,14,FALSE)</f>
        <v>39563</v>
      </c>
      <c r="B26" s="13" t="str">
        <f>VLOOKUP(AO25,SAData!$W$7:$AI$40,3,FALSE)</f>
        <v>Singapore</v>
      </c>
      <c r="C26" s="7">
        <f>VLOOKUP($AP25,SAData!$W$7:$AI$40,MATCH(AW$8,SAData!$AA$5:$AI$5,0)+4,FALSE)</f>
        <v>8119.646721130493</v>
      </c>
      <c r="D26" s="8">
        <f>VLOOKUP($AP25,SAData!$W$7:$AI$40,MATCH(AX$8,SAData!$AA$5:$AI$5,0)+4,FALSE)</f>
        <v>9368.823139765953</v>
      </c>
      <c r="E26" s="9">
        <f>VLOOKUP($AP25,SAData!$W$7:$AI$40,MATCH(AY$8,SAData!$AA$5:$AI$5,0)+4,FALSE)</f>
        <v>10982.342680503423</v>
      </c>
      <c r="F26" s="7">
        <f>VLOOKUP($AP25,SAData!$W$7:$AI$40,MATCH(AZ$8,SAData!$AA$5:$AI$5,0)+4,FALSE)</f>
        <v>5465.14683153014</v>
      </c>
      <c r="G26" s="8">
        <f>VLOOKUP($AP25,SAData!$W$7:$AI$40,MATCH(BA$8,SAData!$AA$5:$AI$5,0)+4,FALSE)</f>
        <v>6297.931110620446</v>
      </c>
      <c r="H26" s="9">
        <f>VLOOKUP($AP25,SAData!$W$7:$AI$40,MATCH(BB$8,SAData!$AA$5:$AI$5,0)+4,FALSE)</f>
        <v>7443.009494369619</v>
      </c>
      <c r="I26" s="7">
        <f>VLOOKUP($AP25,SAData!$W$7:$AI$40,MATCH(BC$8,SAData!$AA$5:$AI$5,0)+4,FALSE)</f>
        <v>2484.157650695518</v>
      </c>
      <c r="J26" s="8">
        <f>VLOOKUP($AP25,SAData!$W$7:$AI$40,MATCH(BD$8,SAData!$AA$5:$AI$5,0)+4,FALSE)</f>
        <v>2881.6228748068006</v>
      </c>
      <c r="K26" s="9">
        <f>VLOOKUP($AP25,SAData!$W$7:$AI$40,MATCH(BE$8,SAData!$AA$5:$AI$5,0)+4,FALSE)</f>
        <v>3331.1371163612275</v>
      </c>
      <c r="L26" s="26"/>
      <c r="AO26">
        <f t="shared" si="1"/>
        <v>19</v>
      </c>
      <c r="AP26">
        <f>IF(ISNUMBER(VLOOKUP($AO26,OWData!$AI$4:$AL$94,2,FALSE)),AO26,AP27)</f>
        <v>19</v>
      </c>
      <c r="AR26" t="s">
        <v>1345</v>
      </c>
      <c r="AU26" t="s">
        <v>1398</v>
      </c>
      <c r="AX26" s="54" t="str">
        <f t="shared" si="2"/>
        <v>Singapore         8,120   9,369   10,982</v>
      </c>
      <c r="BA26" s="54" t="str">
        <f t="shared" si="3"/>
        <v>Singapore         5,465   6,298   7,443</v>
      </c>
      <c r="BD26" s="54" t="str">
        <f t="shared" si="4"/>
        <v>Singapore         2,484   2,882   3,331</v>
      </c>
      <c r="BI26" s="54">
        <f t="shared" si="5"/>
      </c>
      <c r="BJ26" s="54"/>
      <c r="BK26" s="54"/>
      <c r="BL26" s="54">
        <f t="shared" si="6"/>
      </c>
      <c r="BM26" s="54"/>
      <c r="BN26" s="54"/>
      <c r="BO26" s="54">
        <f t="shared" si="7"/>
      </c>
    </row>
    <row r="27" spans="1:67" ht="12.75">
      <c r="A27" s="63">
        <f>VLOOKUP(AO26,SAData!$W$7:$AJ$40,14,FALSE)</f>
        <v>39563</v>
      </c>
      <c r="B27" s="13" t="str">
        <f>VLOOKUP(AO26,SAData!$W$7:$AI$40,3,FALSE)</f>
        <v>Samoa</v>
      </c>
      <c r="C27" s="7">
        <f>VLOOKUP($AP26,SAData!$W$7:$AI$40,MATCH(AW$8,SAData!$AA$5:$AI$5,0)+4,FALSE)</f>
        <v>8942.529036980293</v>
      </c>
      <c r="D27" s="8">
        <f>VLOOKUP($AP26,SAData!$W$7:$AI$40,MATCH(AX$8,SAData!$AA$5:$AI$5,0)+4,FALSE)</f>
        <v>10049.219946011486</v>
      </c>
      <c r="E27" s="9">
        <f>VLOOKUP($AP26,SAData!$W$7:$AI$40,MATCH(AY$8,SAData!$AA$5:$AI$5,0)+4,FALSE)</f>
        <v>11016.577057843522</v>
      </c>
      <c r="F27" s="7">
        <f>VLOOKUP($AP26,SAData!$W$7:$AI$40,MATCH(AZ$8,SAData!$AA$5:$AI$5,0)+4,FALSE)</f>
        <v>6624.186517063031</v>
      </c>
      <c r="G27" s="8">
        <f>VLOOKUP($AP26,SAData!$W$7:$AI$40,MATCH(BA$8,SAData!$AA$5:$AI$5,0)+4,FALSE)</f>
        <v>7443.616557859839</v>
      </c>
      <c r="H27" s="9">
        <f>VLOOKUP($AP26,SAData!$W$7:$AI$40,MATCH(BB$8,SAData!$AA$5:$AI$5,0)+4,FALSE)</f>
        <v>8160.541117897796</v>
      </c>
      <c r="I27" s="7">
        <f>VLOOKUP($AP26,SAData!$W$7:$AI$40,MATCH(BC$8,SAData!$AA$5:$AI$5,0)+4,FALSE)</f>
        <v>1896.6582966757571</v>
      </c>
      <c r="J27" s="8">
        <f>VLOOKUP($AP26,SAData!$W$7:$AI$40,MATCH(BD$8,SAData!$AA$5:$AI$5,0)+4,FALSE)</f>
        <v>2066.682357575169</v>
      </c>
      <c r="K27" s="9">
        <f>VLOOKUP($AP26,SAData!$W$7:$AI$40,MATCH(BE$8,SAData!$AA$5:$AI$5,0)+4,FALSE)</f>
        <v>2386.474905331826</v>
      </c>
      <c r="L27" s="26"/>
      <c r="AO27">
        <f t="shared" si="1"/>
        <v>18</v>
      </c>
      <c r="AP27">
        <f>IF(ISNUMBER(VLOOKUP($AO27,OWData!$AI$4:$AL$94,2,FALSE)),AO27,AP28)</f>
        <v>18</v>
      </c>
      <c r="AR27" t="s">
        <v>1273</v>
      </c>
      <c r="AU27" t="s">
        <v>1029</v>
      </c>
      <c r="AX27" s="54" t="str">
        <f t="shared" si="2"/>
        <v>Samoa             8,943   10,049  11,017</v>
      </c>
      <c r="BA27" s="54" t="str">
        <f t="shared" si="3"/>
        <v>Samoa             6,624   7,444   8,161</v>
      </c>
      <c r="BD27" s="54" t="str">
        <f t="shared" si="4"/>
        <v>Samoa             1,897   2,067   2,386</v>
      </c>
      <c r="BI27" s="54">
        <f t="shared" si="5"/>
      </c>
      <c r="BJ27" s="54"/>
      <c r="BK27" s="54"/>
      <c r="BL27" s="54">
        <f t="shared" si="6"/>
      </c>
      <c r="BM27" s="54"/>
      <c r="BN27" s="54"/>
      <c r="BO27" s="54">
        <f t="shared" si="7"/>
      </c>
    </row>
    <row r="28" spans="1:67" ht="12.75">
      <c r="A28" s="63">
        <f>VLOOKUP(AO27,SAData!$W$7:$AJ$40,14,FALSE)</f>
        <v>39563</v>
      </c>
      <c r="B28" s="13" t="str">
        <f>VLOOKUP(AO27,SAData!$W$7:$AI$40,3,FALSE)</f>
        <v>Tonga</v>
      </c>
      <c r="C28" s="7">
        <f>VLOOKUP($AP27,SAData!$W$7:$AI$40,MATCH(AW$8,SAData!$AA$5:$AI$5,0)+4,FALSE)</f>
        <v>9080.002911657746</v>
      </c>
      <c r="D28" s="8">
        <f>VLOOKUP($AP27,SAData!$W$7:$AI$40,MATCH(AX$8,SAData!$AA$5:$AI$5,0)+4,FALSE)</f>
        <v>10203.778171026448</v>
      </c>
      <c r="E28" s="9">
        <f>VLOOKUP($AP27,SAData!$W$7:$AI$40,MATCH(AY$8,SAData!$AA$5:$AI$5,0)+4,FALSE)</f>
        <v>11185.89577248936</v>
      </c>
      <c r="F28" s="7">
        <f>VLOOKUP($AP27,SAData!$W$7:$AI$40,MATCH(AZ$8,SAData!$AA$5:$AI$5,0)+4,FALSE)</f>
        <v>6726.209149491002</v>
      </c>
      <c r="G28" s="8">
        <f>VLOOKUP($AP27,SAData!$W$7:$AI$40,MATCH(BA$8,SAData!$AA$5:$AI$5,0)+4,FALSE)</f>
        <v>7558.447889687519</v>
      </c>
      <c r="H28" s="9">
        <f>VLOOKUP($AP27,SAData!$W$7:$AI$40,MATCH(BB$8,SAData!$AA$5:$AI$5,0)+4,FALSE)</f>
        <v>8285.70818697171</v>
      </c>
      <c r="I28" s="7">
        <f>VLOOKUP($AP27,SAData!$W$7:$AI$40,MATCH(BC$8,SAData!$AA$5:$AI$5,0)+4,FALSE)</f>
        <v>1925.6587871568352</v>
      </c>
      <c r="J28" s="8">
        <f>VLOOKUP($AP27,SAData!$W$7:$AI$40,MATCH(BD$8,SAData!$AA$5:$AI$5,0)+4,FALSE)</f>
        <v>2098.9364579880253</v>
      </c>
      <c r="K28" s="9">
        <f>VLOOKUP($AP27,SAData!$W$7:$AI$40,MATCH(BE$8,SAData!$AA$5:$AI$5,0)+4,FALSE)</f>
        <v>2423.357790602625</v>
      </c>
      <c r="L28" s="26"/>
      <c r="AO28">
        <f t="shared" si="1"/>
        <v>17</v>
      </c>
      <c r="AP28">
        <f>IF(ISNUMBER(VLOOKUP($AO28,OWData!$AI$4:$AL$94,2,FALSE)),AO28,AP29)</f>
        <v>17</v>
      </c>
      <c r="AR28" t="s">
        <v>1274</v>
      </c>
      <c r="AU28" t="s">
        <v>1004</v>
      </c>
      <c r="AX28" s="54" t="str">
        <f t="shared" si="2"/>
        <v>Tonga             9,080   10,204  11,186</v>
      </c>
      <c r="BA28" s="54" t="str">
        <f t="shared" si="3"/>
        <v>Tonga             6,726   7,558   8,286</v>
      </c>
      <c r="BD28" s="54" t="str">
        <f t="shared" si="4"/>
        <v>Tonga             1,926   2,099   2,423</v>
      </c>
      <c r="BI28" s="54">
        <f t="shared" si="5"/>
      </c>
      <c r="BJ28" s="54"/>
      <c r="BK28" s="54"/>
      <c r="BL28" s="54">
        <f t="shared" si="6"/>
      </c>
      <c r="BM28" s="54"/>
      <c r="BN28" s="54"/>
      <c r="BO28" s="54">
        <f t="shared" si="7"/>
      </c>
    </row>
    <row r="29" spans="1:67" ht="12.75">
      <c r="A29" s="63">
        <f>VLOOKUP(AO28,SAData!$W$7:$AJ$40,14,FALSE)</f>
        <v>39563</v>
      </c>
      <c r="B29" s="13" t="str">
        <f>VLOOKUP(AO28,SAData!$W$7:$AI$40,3,FALSE)</f>
        <v>New Zealand</v>
      </c>
      <c r="C29" s="7">
        <f>VLOOKUP($AP28,SAData!$W$7:$AI$40,MATCH(AW$8,SAData!$AA$5:$AI$5,0)+4,FALSE)</f>
        <v>9234.545837231059</v>
      </c>
      <c r="D29" s="8">
        <f>VLOOKUP($AP28,SAData!$W$7:$AI$40,MATCH(AX$8,SAData!$AA$5:$AI$5,0)+4,FALSE)</f>
        <v>10310.556361085128</v>
      </c>
      <c r="E29" s="9">
        <f>VLOOKUP($AP28,SAData!$W$7:$AI$40,MATCH(AY$8,SAData!$AA$5:$AI$5,0)+4,FALSE)</f>
        <v>11250.75</v>
      </c>
      <c r="F29" s="7">
        <f>VLOOKUP($AP28,SAData!$W$7:$AI$40,MATCH(AZ$8,SAData!$AA$5:$AI$5,0)+4,FALSE)</f>
        <v>6840.460009354538</v>
      </c>
      <c r="G29" s="8">
        <f>VLOOKUP($AP28,SAData!$W$7:$AI$40,MATCH(BA$8,SAData!$AA$5:$AI$5,0)+4,FALSE)</f>
        <v>7637.319223573434</v>
      </c>
      <c r="H29" s="9">
        <f>VLOOKUP($AP28,SAData!$W$7:$AI$40,MATCH(BB$8,SAData!$AA$5:$AI$5,0)+4,FALSE)</f>
        <v>8333.944574368568</v>
      </c>
      <c r="I29" s="7">
        <f>VLOOKUP($AP28,SAData!$W$7:$AI$40,MATCH(BC$8,SAData!$AA$5:$AI$5,0)+4,FALSE)</f>
        <v>2244.737371375117</v>
      </c>
      <c r="J29" s="8">
        <f>VLOOKUP($AP28,SAData!$W$7:$AI$40,MATCH(BD$8,SAData!$AA$5:$AI$5,0)+4,FALSE)</f>
        <v>2410.123246024322</v>
      </c>
      <c r="K29" s="9">
        <f>VLOOKUP($AP28,SAData!$W$7:$AI$40,MATCH(BE$8,SAData!$AA$5:$AI$5,0)+4,FALSE)</f>
        <v>2720.8482226379792</v>
      </c>
      <c r="L29" s="26"/>
      <c r="AO29">
        <f t="shared" si="1"/>
        <v>16</v>
      </c>
      <c r="AP29">
        <f>IF(ISNUMBER(VLOOKUP($AO29,OWData!$AI$4:$AL$94,2,FALSE)),AO29,AP30)</f>
        <v>16</v>
      </c>
      <c r="AR29" t="s">
        <v>1346</v>
      </c>
      <c r="AU29" t="s">
        <v>1005</v>
      </c>
      <c r="AX29" s="54" t="str">
        <f t="shared" si="2"/>
        <v>New Zealand       9,235   10,311  11,251</v>
      </c>
      <c r="BA29" s="54" t="str">
        <f t="shared" si="3"/>
        <v>New Zealand       6,840   7,637   8,334</v>
      </c>
      <c r="BD29" s="54" t="str">
        <f t="shared" si="4"/>
        <v>New Zealand       2,245   2,410   2,721</v>
      </c>
      <c r="BI29" s="54">
        <f t="shared" si="5"/>
      </c>
      <c r="BJ29" s="54"/>
      <c r="BK29" s="54"/>
      <c r="BL29" s="54">
        <f t="shared" si="6"/>
      </c>
      <c r="BM29" s="54"/>
      <c r="BN29" s="54"/>
      <c r="BO29" s="54">
        <f t="shared" si="7"/>
      </c>
    </row>
    <row r="30" spans="1:67" ht="12.75">
      <c r="A30" s="63">
        <f>VLOOKUP(AO29,SAData!$W$7:$AJ$40,14,FALSE)</f>
        <v>39563</v>
      </c>
      <c r="B30" s="13" t="str">
        <f>VLOOKUP(AO29,SAData!$W$7:$AI$40,3,FALSE)</f>
        <v>Uae</v>
      </c>
      <c r="C30" s="7">
        <f>VLOOKUP($AP29,SAData!$W$7:$AI$40,MATCH(AW$8,SAData!$AA$5:$AI$5,0)+4,FALSE)</f>
        <v>8635.447915532819</v>
      </c>
      <c r="D30" s="8">
        <f>VLOOKUP($AP29,SAData!$W$7:$AI$40,MATCH(AX$8,SAData!$AA$5:$AI$5,0)+4,FALSE)</f>
        <v>9914.319962991183</v>
      </c>
      <c r="E30" s="9">
        <f>VLOOKUP($AP29,SAData!$W$7:$AI$40,MATCH(AY$8,SAData!$AA$5:$AI$5,0)+4,FALSE)</f>
        <v>11700.542070316753</v>
      </c>
      <c r="F30" s="7">
        <f>VLOOKUP($AP29,SAData!$W$7:$AI$40,MATCH(AZ$8,SAData!$AA$5:$AI$5,0)+4,FALSE)</f>
        <v>4580.146402525308</v>
      </c>
      <c r="G30" s="8">
        <f>VLOOKUP($AP29,SAData!$W$7:$AI$40,MATCH(BA$8,SAData!$AA$5:$AI$5,0)+4,FALSE)</f>
        <v>5279.939588549037</v>
      </c>
      <c r="H30" s="9">
        <f>VLOOKUP($AP29,SAData!$W$7:$AI$40,MATCH(BB$8,SAData!$AA$5:$AI$5,0)+4,FALSE)</f>
        <v>6219.411940785893</v>
      </c>
      <c r="I30" s="7">
        <f>VLOOKUP($AP29,SAData!$W$7:$AI$40,MATCH(BC$8,SAData!$AA$5:$AI$5,0)+4,FALSE)</f>
        <v>2031.149722433874</v>
      </c>
      <c r="J30" s="8">
        <f>VLOOKUP($AP29,SAData!$W$7:$AI$40,MATCH(BD$8,SAData!$AA$5:$AI$5,0)+4,FALSE)</f>
        <v>2494.7627081745945</v>
      </c>
      <c r="K30" s="9">
        <f>VLOOKUP($AP29,SAData!$W$7:$AI$40,MATCH(BE$8,SAData!$AA$5:$AI$5,0)+4,FALSE)</f>
        <v>2923.3860346141287</v>
      </c>
      <c r="L30" s="26"/>
      <c r="AO30">
        <f t="shared" si="1"/>
        <v>15</v>
      </c>
      <c r="AP30">
        <f>IF(ISNUMBER(VLOOKUP($AO30,OWData!$AI$4:$AL$94,2,FALSE)),AO30,AP31)</f>
        <v>15</v>
      </c>
      <c r="AR30" t="s">
        <v>1278</v>
      </c>
      <c r="AU30" t="s">
        <v>1248</v>
      </c>
      <c r="AX30" s="54" t="str">
        <f t="shared" si="2"/>
        <v>Uae               8,635   9,914   11,701</v>
      </c>
      <c r="BA30" s="54" t="str">
        <f t="shared" si="3"/>
        <v>Uae               4,580   5,280   6,219</v>
      </c>
      <c r="BD30" s="54" t="str">
        <f t="shared" si="4"/>
        <v>Uae               2,031   2,495   2,923</v>
      </c>
      <c r="BI30" s="54">
        <f t="shared" si="5"/>
      </c>
      <c r="BJ30" s="54"/>
      <c r="BK30" s="54"/>
      <c r="BL30" s="54">
        <f t="shared" si="6"/>
      </c>
      <c r="BM30" s="54"/>
      <c r="BN30" s="54"/>
      <c r="BO30" s="54">
        <f t="shared" si="7"/>
      </c>
    </row>
    <row r="31" spans="1:67" ht="12.75">
      <c r="A31" s="63">
        <f>VLOOKUP(AO30,SAData!$W$7:$AJ$40,14,FALSE)</f>
        <v>39563</v>
      </c>
      <c r="B31" s="13" t="str">
        <f>VLOOKUP(AO30,SAData!$W$7:$AI$40,3,FALSE)</f>
        <v>Israel</v>
      </c>
      <c r="C31" s="7">
        <f>VLOOKUP($AP30,SAData!$W$7:$AI$40,MATCH(AW$8,SAData!$AA$5:$AI$5,0)+4,FALSE)</f>
        <v>8641.8618</v>
      </c>
      <c r="D31" s="8">
        <f>VLOOKUP($AP30,SAData!$W$7:$AI$40,MATCH(AX$8,SAData!$AA$5:$AI$5,0)+4,FALSE)</f>
        <v>9921.8757</v>
      </c>
      <c r="E31" s="9">
        <f>VLOOKUP($AP30,SAData!$W$7:$AI$40,MATCH(AY$8,SAData!$AA$5:$AI$5,0)+4,FALSE)</f>
        <v>11708.4948</v>
      </c>
      <c r="F31" s="7">
        <f>VLOOKUP($AP30,SAData!$W$7:$AI$40,MATCH(AZ$8,SAData!$AA$5:$AI$5,0)+4,FALSE)</f>
        <v>4582.5912</v>
      </c>
      <c r="G31" s="8">
        <f>VLOOKUP($AP30,SAData!$W$7:$AI$40,MATCH(BA$8,SAData!$AA$5:$AI$5,0)+4,FALSE)</f>
        <v>5283.3522</v>
      </c>
      <c r="H31" s="9">
        <f>VLOOKUP($AP30,SAData!$W$7:$AI$40,MATCH(BB$8,SAData!$AA$5:$AI$5,0)+4,FALSE)</f>
        <v>6223.914900000001</v>
      </c>
      <c r="I31" s="7">
        <f>VLOOKUP($AP30,SAData!$W$7:$AI$40,MATCH(BC$8,SAData!$AA$5:$AI$5,0)+4,FALSE)</f>
        <v>2031.564</v>
      </c>
      <c r="J31" s="8">
        <f>VLOOKUP($AP30,SAData!$W$7:$AI$40,MATCH(BD$8,SAData!$AA$5:$AI$5,0)+4,FALSE)</f>
        <v>2495.0949</v>
      </c>
      <c r="K31" s="9">
        <f>VLOOKUP($AP30,SAData!$W$7:$AI$40,MATCH(BE$8,SAData!$AA$5:$AI$5,0)+4,FALSE)</f>
        <v>2924.5521000000003</v>
      </c>
      <c r="L31" s="26"/>
      <c r="AO31">
        <f t="shared" si="1"/>
        <v>14</v>
      </c>
      <c r="AP31">
        <f>IF(ISNUMBER(VLOOKUP($AO31,OWData!$AI$4:$AL$94,2,FALSE)),AO31,AP32)</f>
        <v>14</v>
      </c>
      <c r="AR31" t="s">
        <v>1320</v>
      </c>
      <c r="AU31" t="s">
        <v>1401</v>
      </c>
      <c r="AX31" s="54" t="str">
        <f t="shared" si="2"/>
        <v>Israel            8,642   9,922   11,708</v>
      </c>
      <c r="BA31" s="54" t="str">
        <f t="shared" si="3"/>
        <v>Israel            4,583   5,283   6,224</v>
      </c>
      <c r="BD31" s="54" t="str">
        <f t="shared" si="4"/>
        <v>Israel            2,032   2,495   2,925</v>
      </c>
      <c r="BI31" s="54">
        <f t="shared" si="5"/>
      </c>
      <c r="BJ31" s="54"/>
      <c r="BK31" s="54"/>
      <c r="BL31" s="54">
        <f t="shared" si="6"/>
      </c>
      <c r="BM31" s="54"/>
      <c r="BN31" s="54"/>
      <c r="BO31" s="54">
        <f t="shared" si="7"/>
      </c>
    </row>
    <row r="32" spans="1:67" ht="12.75">
      <c r="A32" s="63">
        <f>VLOOKUP(AO31,SAData!$W$7:$AJ$40,14,FALSE)</f>
        <v>39563</v>
      </c>
      <c r="B32" s="13" t="str">
        <f>VLOOKUP(AO31,SAData!$W$7:$AI$40,3,FALSE)</f>
        <v>Lebanon</v>
      </c>
      <c r="C32" s="7">
        <f>VLOOKUP($AP31,SAData!$W$7:$AI$40,MATCH(AW$8,SAData!$AA$5:$AI$5,0)+4,FALSE)</f>
        <v>8641.8618</v>
      </c>
      <c r="D32" s="8">
        <f>VLOOKUP($AP31,SAData!$W$7:$AI$40,MATCH(AX$8,SAData!$AA$5:$AI$5,0)+4,FALSE)</f>
        <v>9921.8757</v>
      </c>
      <c r="E32" s="9">
        <f>VLOOKUP($AP31,SAData!$W$7:$AI$40,MATCH(AY$8,SAData!$AA$5:$AI$5,0)+4,FALSE)</f>
        <v>11708.4948</v>
      </c>
      <c r="F32" s="7">
        <f>VLOOKUP($AP31,SAData!$W$7:$AI$40,MATCH(AZ$8,SAData!$AA$5:$AI$5,0)+4,FALSE)</f>
        <v>4582.5912</v>
      </c>
      <c r="G32" s="8">
        <f>VLOOKUP($AP31,SAData!$W$7:$AI$40,MATCH(BA$8,SAData!$AA$5:$AI$5,0)+4,FALSE)</f>
        <v>5283.3522</v>
      </c>
      <c r="H32" s="9">
        <f>VLOOKUP($AP31,SAData!$W$7:$AI$40,MATCH(BB$8,SAData!$AA$5:$AI$5,0)+4,FALSE)</f>
        <v>6223.914900000001</v>
      </c>
      <c r="I32" s="7">
        <f>VLOOKUP($AP31,SAData!$W$7:$AI$40,MATCH(BC$8,SAData!$AA$5:$AI$5,0)+4,FALSE)</f>
        <v>2031.564</v>
      </c>
      <c r="J32" s="8">
        <f>VLOOKUP($AP31,SAData!$W$7:$AI$40,MATCH(BD$8,SAData!$AA$5:$AI$5,0)+4,FALSE)</f>
        <v>2495.0949</v>
      </c>
      <c r="K32" s="9">
        <f>VLOOKUP($AP31,SAData!$W$7:$AI$40,MATCH(BE$8,SAData!$AA$5:$AI$5,0)+4,FALSE)</f>
        <v>2924.5521000000003</v>
      </c>
      <c r="L32" s="26"/>
      <c r="AO32">
        <f aca="true" t="shared" si="8" ref="AO32:AO42">MAX(0,AO31-1)</f>
        <v>13</v>
      </c>
      <c r="AP32">
        <f>IF(ISNUMBER(VLOOKUP($AO32,OWData!$AI$4:$AL$94,2,FALSE)),AO32,AP33)</f>
        <v>13</v>
      </c>
      <c r="AR32" t="s">
        <v>1322</v>
      </c>
      <c r="AU32" t="s">
        <v>1386</v>
      </c>
      <c r="AX32" s="54" t="str">
        <f t="shared" si="2"/>
        <v>Lebanon           8,642   9,922   11,708</v>
      </c>
      <c r="BA32" s="54" t="str">
        <f t="shared" si="3"/>
        <v>Lebanon           4,583   5,283   6,224</v>
      </c>
      <c r="BD32" s="54" t="str">
        <f t="shared" si="4"/>
        <v>Lebanon           2,032   2,495   2,925</v>
      </c>
      <c r="BI32" s="54">
        <f t="shared" si="5"/>
      </c>
      <c r="BJ32" s="54"/>
      <c r="BK32" s="54"/>
      <c r="BL32" s="54">
        <f t="shared" si="6"/>
      </c>
      <c r="BM32" s="54"/>
      <c r="BN32" s="54"/>
      <c r="BO32" s="54">
        <f t="shared" si="7"/>
      </c>
    </row>
    <row r="33" spans="1:67" ht="12.75">
      <c r="A33" s="63">
        <f>VLOOKUP(AO32,SAData!$W$7:$AJ$40,14,FALSE)</f>
        <v>39563</v>
      </c>
      <c r="B33" s="13" t="str">
        <f>VLOOKUP(AO32,SAData!$W$7:$AI$40,3,FALSE)</f>
        <v>Fiji</v>
      </c>
      <c r="C33" s="7">
        <f>VLOOKUP($AP32,SAData!$W$7:$AI$40,MATCH(AW$8,SAData!$AA$5:$AI$5,0)+4,FALSE)</f>
        <v>9743.1495</v>
      </c>
      <c r="D33" s="8">
        <f>VLOOKUP($AP32,SAData!$W$7:$AI$40,MATCH(AX$8,SAData!$AA$5:$AI$5,0)+4,FALSE)</f>
        <v>10948.587000000001</v>
      </c>
      <c r="E33" s="9">
        <f>VLOOKUP($AP32,SAData!$W$7:$AI$40,MATCH(AY$8,SAData!$AA$5:$AI$5,0)+4,FALSE)</f>
        <v>12002.3001</v>
      </c>
      <c r="F33" s="7">
        <f>VLOOKUP($AP32,SAData!$W$7:$AI$40,MATCH(AZ$8,SAData!$AA$5:$AI$5,0)+4,FALSE)</f>
        <v>7217.1954000000005</v>
      </c>
      <c r="G33" s="8">
        <f>VLOOKUP($AP32,SAData!$W$7:$AI$40,MATCH(BA$8,SAData!$AA$5:$AI$5,0)+4,FALSE)</f>
        <v>8110.1835</v>
      </c>
      <c r="H33" s="9">
        <f>VLOOKUP($AP32,SAData!$W$7:$AI$40,MATCH(BB$8,SAData!$AA$5:$AI$5,0)+4,FALSE)</f>
        <v>8890.6641</v>
      </c>
      <c r="I33" s="7">
        <f>VLOOKUP($AP32,SAData!$W$7:$AI$40,MATCH(BC$8,SAData!$AA$5:$AI$5,0)+4,FALSE)</f>
        <v>2066.2806</v>
      </c>
      <c r="J33" s="8">
        <f>VLOOKUP($AP32,SAData!$W$7:$AI$40,MATCH(BD$8,SAData!$AA$5:$AI$5,0)+4,FALSE)</f>
        <v>2252.0787</v>
      </c>
      <c r="K33" s="9">
        <f>VLOOKUP($AP32,SAData!$W$7:$AI$40,MATCH(BE$8,SAData!$AA$5:$AI$5,0)+4,FALSE)</f>
        <v>2599.8876</v>
      </c>
      <c r="L33" s="26"/>
      <c r="AO33">
        <f t="shared" si="8"/>
        <v>12</v>
      </c>
      <c r="AP33">
        <f>IF(ISNUMBER(VLOOKUP($AO33,OWData!$AI$4:$AL$94,2,FALSE)),AO33,AP34)</f>
        <v>12</v>
      </c>
      <c r="AR33" t="s">
        <v>1321</v>
      </c>
      <c r="AU33" t="s">
        <v>1402</v>
      </c>
      <c r="AX33" s="54" t="str">
        <f t="shared" si="2"/>
        <v>Fiji              9,743   10,949  12,002</v>
      </c>
      <c r="BA33" s="54" t="str">
        <f t="shared" si="3"/>
        <v>Fiji              7,217   8,110   8,891</v>
      </c>
      <c r="BD33" s="54" t="str">
        <f t="shared" si="4"/>
        <v>Fiji              2,066   2,252   2,600</v>
      </c>
      <c r="BI33" s="54">
        <f t="shared" si="5"/>
      </c>
      <c r="BJ33" s="54"/>
      <c r="BK33" s="54"/>
      <c r="BL33" s="54">
        <f t="shared" si="6"/>
      </c>
      <c r="BM33" s="54"/>
      <c r="BN33" s="54"/>
      <c r="BO33" s="54">
        <f t="shared" si="7"/>
      </c>
    </row>
    <row r="34" spans="1:67" ht="12.75">
      <c r="A34" s="63">
        <f>VLOOKUP(AO33,SAData!$W$7:$AJ$40,14,FALSE)</f>
        <v>39563</v>
      </c>
      <c r="B34" s="13" t="str">
        <f>VLOOKUP(AO33,SAData!$W$7:$AI$40,3,FALSE)</f>
        <v>Egypt</v>
      </c>
      <c r="C34" s="7">
        <f>VLOOKUP($AP33,SAData!$W$7:$AI$40,MATCH(AW$8,SAData!$AA$5:$AI$5,0)+4,FALSE)</f>
        <v>8997.951716972879</v>
      </c>
      <c r="D34" s="8">
        <f>VLOOKUP($AP33,SAData!$W$7:$AI$40,MATCH(AX$8,SAData!$AA$5:$AI$5,0)+4,FALSE)</f>
        <v>10330.764599737533</v>
      </c>
      <c r="E34" s="9">
        <f>VLOOKUP($AP33,SAData!$W$7:$AI$40,MATCH(AY$8,SAData!$AA$5:$AI$5,0)+4,FALSE)</f>
        <v>12191.359197287838</v>
      </c>
      <c r="F34" s="7">
        <f>VLOOKUP($AP33,SAData!$W$7:$AI$40,MATCH(AZ$8,SAData!$AA$5:$AI$5,0)+4,FALSE)</f>
        <v>4771.831036745408</v>
      </c>
      <c r="G34" s="8">
        <f>VLOOKUP($AP33,SAData!$W$7:$AI$40,MATCH(BA$8,SAData!$AA$5:$AI$5,0)+4,FALSE)</f>
        <v>5500.811953193352</v>
      </c>
      <c r="H34" s="9">
        <f>VLOOKUP($AP33,SAData!$W$7:$AI$40,MATCH(BB$8,SAData!$AA$5:$AI$5,0)+4,FALSE)</f>
        <v>6480.325131233597</v>
      </c>
      <c r="I34" s="7">
        <f>VLOOKUP($AP33,SAData!$W$7:$AI$40,MATCH(BC$8,SAData!$AA$5:$AI$5,0)+4,FALSE)</f>
        <v>2115.1110017497817</v>
      </c>
      <c r="J34" s="8">
        <f>VLOOKUP($AP33,SAData!$W$7:$AI$40,MATCH(BD$8,SAData!$AA$5:$AI$5,0)+4,FALSE)</f>
        <v>2598.1297025371828</v>
      </c>
      <c r="K34" s="9">
        <f>VLOOKUP($AP33,SAData!$W$7:$AI$40,MATCH(BE$8,SAData!$AA$5:$AI$5,0)+4,FALSE)</f>
        <v>3045.4083005249345</v>
      </c>
      <c r="L34" s="26"/>
      <c r="AO34">
        <f t="shared" si="8"/>
        <v>11</v>
      </c>
      <c r="AP34">
        <f>IF(ISNUMBER(VLOOKUP($AO34,OWData!$AI$4:$AL$94,2,FALSE)),AO34,AP35)</f>
        <v>11</v>
      </c>
      <c r="AR34" t="s">
        <v>1254</v>
      </c>
      <c r="AU34" t="s">
        <v>1010</v>
      </c>
      <c r="AX34" s="54" t="str">
        <f t="shared" si="2"/>
        <v>Egypt             8,998   10,331  12,191</v>
      </c>
      <c r="BA34" s="54" t="str">
        <f t="shared" si="3"/>
        <v>Egypt             4,772   5,501   6,480</v>
      </c>
      <c r="BD34" s="54" t="str">
        <f t="shared" si="4"/>
        <v>Egypt             2,115   2,598   3,045</v>
      </c>
      <c r="BI34" s="54">
        <f t="shared" si="5"/>
      </c>
      <c r="BJ34" s="54"/>
      <c r="BK34" s="54"/>
      <c r="BL34" s="54">
        <f t="shared" si="6"/>
      </c>
      <c r="BM34" s="54"/>
      <c r="BN34" s="54"/>
      <c r="BO34" s="54">
        <f t="shared" si="7"/>
      </c>
    </row>
    <row r="35" spans="1:67" ht="12.75">
      <c r="A35" s="63">
        <f>VLOOKUP(AO34,SAData!$W$7:$AJ$40,14,FALSE)</f>
        <v>39563</v>
      </c>
      <c r="B35" s="13" t="str">
        <f>VLOOKUP(AO34,SAData!$W$7:$AI$40,3,FALSE)</f>
        <v>Canada</v>
      </c>
      <c r="C35" s="7">
        <f>VLOOKUP($AP34,SAData!$W$7:$AI$40,MATCH(AW$8,SAData!$AA$5:$AI$5,0)+4,FALSE)</f>
        <v>9072.01215535132</v>
      </c>
      <c r="D35" s="8">
        <f>VLOOKUP($AP34,SAData!$W$7:$AI$40,MATCH(AX$8,SAData!$AA$5:$AI$5,0)+4,FALSE)</f>
        <v>10439.26267417729</v>
      </c>
      <c r="E35" s="9">
        <f>VLOOKUP($AP34,SAData!$W$7:$AI$40,MATCH(AY$8,SAData!$AA$5:$AI$5,0)+4,FALSE)</f>
        <v>12274.12303587311</v>
      </c>
      <c r="F35" s="7">
        <f>VLOOKUP($AP34,SAData!$W$7:$AI$40,MATCH(AZ$8,SAData!$AA$5:$AI$5,0)+4,FALSE)</f>
        <v>6403.586421583161</v>
      </c>
      <c r="G35" s="8">
        <f>VLOOKUP($AP34,SAData!$W$7:$AI$40,MATCH(BA$8,SAData!$AA$5:$AI$5,0)+4,FALSE)</f>
        <v>7704.126297064928</v>
      </c>
      <c r="H35" s="9">
        <f>VLOOKUP($AP34,SAData!$W$7:$AI$40,MATCH(BB$8,SAData!$AA$5:$AI$5,0)+4,FALSE)</f>
        <v>8671.748295286096</v>
      </c>
      <c r="I35" s="7">
        <f>VLOOKUP($AP34,SAData!$W$7:$AI$40,MATCH(BC$8,SAData!$AA$5:$AI$5,0)+4,FALSE)</f>
        <v>3009.603024014231</v>
      </c>
      <c r="J35" s="8">
        <f>VLOOKUP($AP34,SAData!$W$7:$AI$40,MATCH(BD$8,SAData!$AA$5:$AI$5,0)+4,FALSE)</f>
        <v>3434.645123035873</v>
      </c>
      <c r="K35" s="9">
        <f>VLOOKUP($AP34,SAData!$W$7:$AI$40,MATCH(BE$8,SAData!$AA$5:$AI$5,0)+4,FALSE)</f>
        <v>3925.7625259412985</v>
      </c>
      <c r="L35" s="26"/>
      <c r="AO35">
        <f t="shared" si="8"/>
        <v>10</v>
      </c>
      <c r="AP35">
        <f>IF(ISNUMBER(VLOOKUP($AO35,OWData!$AI$4:$AL$94,2,FALSE)),AO35,AP36)</f>
        <v>10</v>
      </c>
      <c r="AR35" t="s">
        <v>1275</v>
      </c>
      <c r="AU35" t="s">
        <v>1011</v>
      </c>
      <c r="AX35" s="54" t="str">
        <f t="shared" si="2"/>
        <v>Canada            9,072   10,439  12,274</v>
      </c>
      <c r="BA35" s="54" t="str">
        <f t="shared" si="3"/>
        <v>Canada            6,404   7,704   8,672</v>
      </c>
      <c r="BD35" s="54" t="str">
        <f t="shared" si="4"/>
        <v>Canada            3,010   3,435   3,926</v>
      </c>
      <c r="BI35" s="54">
        <f t="shared" si="5"/>
      </c>
      <c r="BJ35" s="54"/>
      <c r="BK35" s="54"/>
      <c r="BL35" s="54">
        <f t="shared" si="6"/>
      </c>
      <c r="BM35" s="54"/>
      <c r="BN35" s="54"/>
      <c r="BO35" s="54">
        <f t="shared" si="7"/>
      </c>
    </row>
    <row r="36" spans="1:67" ht="12.75">
      <c r="A36" s="63">
        <f>VLOOKUP(AO35,SAData!$W$7:$AJ$40,14,FALSE)</f>
        <v>39563</v>
      </c>
      <c r="B36" s="13" t="str">
        <f>VLOOKUP(AO35,SAData!$W$7:$AI$40,3,FALSE)</f>
        <v>Great Britain</v>
      </c>
      <c r="C36" s="7">
        <f>VLOOKUP($AP35,SAData!$W$7:$AI$40,MATCH(AW$8,SAData!$AA$5:$AI$5,0)+4,FALSE)</f>
        <v>9071.735871505058</v>
      </c>
      <c r="D36" s="8">
        <f>VLOOKUP($AP35,SAData!$W$7:$AI$40,MATCH(AX$8,SAData!$AA$5:$AI$5,0)+4,FALSE)</f>
        <v>10460.03271861987</v>
      </c>
      <c r="E36" s="9">
        <f>VLOOKUP($AP35,SAData!$W$7:$AI$40,MATCH(AY$8,SAData!$AA$5:$AI$5,0)+4,FALSE)</f>
        <v>12311.095181439621</v>
      </c>
      <c r="F36" s="7">
        <f>VLOOKUP($AP35,SAData!$W$7:$AI$40,MATCH(AZ$8,SAData!$AA$5:$AI$5,0)+4,FALSE)</f>
        <v>5277.82272456871</v>
      </c>
      <c r="G36" s="8">
        <f>VLOOKUP($AP35,SAData!$W$7:$AI$40,MATCH(BA$8,SAData!$AA$5:$AI$5,0)+4,FALSE)</f>
        <v>6014.678167757288</v>
      </c>
      <c r="H36" s="9">
        <f>VLOOKUP($AP35,SAData!$W$7:$AI$40,MATCH(BB$8,SAData!$AA$5:$AI$5,0)+4,FALSE)</f>
        <v>7079.166567519334</v>
      </c>
      <c r="I36" s="7">
        <f>VLOOKUP($AP35,SAData!$W$7:$AI$40,MATCH(BC$8,SAData!$AA$5:$AI$5,0)+4,FALSE)</f>
        <v>1886.7578822129688</v>
      </c>
      <c r="J36" s="8">
        <f>VLOOKUP($AP35,SAData!$W$7:$AI$40,MATCH(BD$8,SAData!$AA$5:$AI$5,0)+4,FALSE)</f>
        <v>2327.8512790005952</v>
      </c>
      <c r="K36" s="9">
        <f>VLOOKUP($AP35,SAData!$W$7:$AI$40,MATCH(BE$8,SAData!$AA$5:$AI$5,0)+4,FALSE)</f>
        <v>2622.3384889946465</v>
      </c>
      <c r="L36" s="26"/>
      <c r="AO36">
        <f t="shared" si="8"/>
        <v>9</v>
      </c>
      <c r="AP36">
        <f>IF(ISNUMBER(VLOOKUP($AO36,OWData!$AI$4:$AL$94,2,FALSE)),AO36,AP37)</f>
        <v>9</v>
      </c>
      <c r="AR36" t="s">
        <v>1255</v>
      </c>
      <c r="AU36" t="s">
        <v>1403</v>
      </c>
      <c r="AX36" s="54" t="str">
        <f t="shared" si="2"/>
        <v>Great Britain     9,072   10,460  12,311</v>
      </c>
      <c r="BA36" s="54" t="str">
        <f t="shared" si="3"/>
        <v>Great Britain     5,278   6,015   7,079</v>
      </c>
      <c r="BD36" s="54" t="str">
        <f t="shared" si="4"/>
        <v>Great Britain     1,887   2,328   2,622</v>
      </c>
      <c r="BI36" s="54">
        <f t="shared" si="5"/>
      </c>
      <c r="BJ36" s="54"/>
      <c r="BK36" s="54"/>
      <c r="BL36" s="54">
        <f t="shared" si="6"/>
      </c>
      <c r="BM36" s="54"/>
      <c r="BN36" s="54"/>
      <c r="BO36" s="54">
        <f t="shared" si="7"/>
      </c>
    </row>
    <row r="37" spans="1:67" ht="12.75">
      <c r="A37" s="63">
        <f>VLOOKUP(AO36,SAData!$W$7:$AJ$40,14,FALSE)</f>
        <v>39563</v>
      </c>
      <c r="B37" s="13" t="str">
        <f>VLOOKUP(AO36,SAData!$W$7:$AI$40,3,FALSE)</f>
        <v>Denmark</v>
      </c>
      <c r="C37" s="7">
        <f>VLOOKUP($AP36,SAData!$W$7:$AI$40,MATCH(AW$8,SAData!$AA$5:$AI$5,0)+4,FALSE)</f>
        <v>10013.198569914153</v>
      </c>
      <c r="D37" s="8">
        <f>VLOOKUP($AP36,SAData!$W$7:$AI$40,MATCH(AX$8,SAData!$AA$5:$AI$5,0)+4,FALSE)</f>
        <v>11496.53640690931</v>
      </c>
      <c r="E37" s="9">
        <f>VLOOKUP($AP36,SAData!$W$7:$AI$40,MATCH(AY$8,SAData!$AA$5:$AI$5,0)+4,FALSE)</f>
        <v>13566.527676734082</v>
      </c>
      <c r="F37" s="7">
        <f>VLOOKUP($AP36,SAData!$W$7:$AI$40,MATCH(AZ$8,SAData!$AA$5:$AI$5,0)+4,FALSE)</f>
        <v>5166.291962002952</v>
      </c>
      <c r="G37" s="8">
        <f>VLOOKUP($AP36,SAData!$W$7:$AI$40,MATCH(BA$8,SAData!$AA$5:$AI$5,0)+4,FALSE)</f>
        <v>5961.414496248103</v>
      </c>
      <c r="H37" s="9">
        <f>VLOOKUP($AP36,SAData!$W$7:$AI$40,MATCH(BB$8,SAData!$AA$5:$AI$5,0)+4,FALSE)</f>
        <v>7023.805109231121</v>
      </c>
      <c r="I37" s="7">
        <f>VLOOKUP($AP36,SAData!$W$7:$AI$40,MATCH(BC$8,SAData!$AA$5:$AI$5,0)+4,FALSE)</f>
        <v>2337.2593485626394</v>
      </c>
      <c r="J37" s="8">
        <f>VLOOKUP($AP36,SAData!$W$7:$AI$40,MATCH(BD$8,SAData!$AA$5:$AI$5,0)+4,FALSE)</f>
        <v>2850.414059739342</v>
      </c>
      <c r="K37" s="9">
        <f>VLOOKUP($AP36,SAData!$W$7:$AI$40,MATCH(BE$8,SAData!$AA$5:$AI$5,0)+4,FALSE)</f>
        <v>3339.5146438296365</v>
      </c>
      <c r="L37" s="26"/>
      <c r="AO37">
        <f t="shared" si="8"/>
        <v>8</v>
      </c>
      <c r="AP37">
        <f>IF(ISNUMBER(VLOOKUP($AO37,OWData!$AI$4:$AL$94,2,FALSE)),AO37,AP38)</f>
        <v>8</v>
      </c>
      <c r="AR37" t="s">
        <v>1323</v>
      </c>
      <c r="AU37" t="s">
        <v>1404</v>
      </c>
      <c r="AX37" s="54" t="str">
        <f t="shared" si="2"/>
        <v>Denmark           10,013  11,497  13,567</v>
      </c>
      <c r="BA37" s="54" t="str">
        <f t="shared" si="3"/>
        <v>Denmark           5,166   5,961   7,024</v>
      </c>
      <c r="BD37" s="54" t="str">
        <f t="shared" si="4"/>
        <v>Denmark           2,337   2,850   3,340</v>
      </c>
      <c r="BI37" s="54">
        <f t="shared" si="5"/>
      </c>
      <c r="BJ37" s="54"/>
      <c r="BK37" s="54"/>
      <c r="BL37" s="54">
        <f t="shared" si="6"/>
      </c>
      <c r="BM37" s="54"/>
      <c r="BN37" s="54"/>
      <c r="BO37" s="54">
        <f t="shared" si="7"/>
      </c>
    </row>
    <row r="38" spans="1:67" ht="12.75">
      <c r="A38" s="63">
        <f>VLOOKUP(AO37,SAData!$W$7:$AJ$40,14,FALSE)</f>
        <v>39563</v>
      </c>
      <c r="B38" s="13" t="str">
        <f>VLOOKUP(AO37,SAData!$W$7:$AI$40,3,FALSE)</f>
        <v>Bulgaria</v>
      </c>
      <c r="C38" s="7">
        <f>VLOOKUP($AP37,SAData!$W$7:$AI$40,MATCH(AW$8,SAData!$AA$5:$AI$5,0)+4,FALSE)</f>
        <v>9999</v>
      </c>
      <c r="D38" s="8">
        <f>VLOOKUP($AP37,SAData!$W$7:$AI$40,MATCH(AX$8,SAData!$AA$5:$AI$5,0)+4,FALSE)</f>
        <v>11549</v>
      </c>
      <c r="E38" s="9">
        <f>VLOOKUP($AP37,SAData!$W$7:$AI$40,MATCH(AY$8,SAData!$AA$5:$AI$5,0)+4,FALSE)</f>
        <v>13629</v>
      </c>
      <c r="F38" s="7">
        <f>VLOOKUP($AP37,SAData!$W$7:$AI$40,MATCH(AZ$8,SAData!$AA$5:$AI$5,0)+4,FALSE)</f>
        <v>5340</v>
      </c>
      <c r="G38" s="8">
        <f>VLOOKUP($AP37,SAData!$W$7:$AI$40,MATCH(BA$8,SAData!$AA$5:$AI$5,0)+4,FALSE)</f>
        <v>6150</v>
      </c>
      <c r="H38" s="9">
        <f>VLOOKUP($AP37,SAData!$W$7:$AI$40,MATCH(BB$8,SAData!$AA$5:$AI$5,0)+4,FALSE)</f>
        <v>7250</v>
      </c>
      <c r="I38" s="7">
        <f>VLOOKUP($AP37,SAData!$W$7:$AI$40,MATCH(BC$8,SAData!$AA$5:$AI$5,0)+4,FALSE)</f>
        <v>2370</v>
      </c>
      <c r="J38" s="8">
        <f>VLOOKUP($AP37,SAData!$W$7:$AI$40,MATCH(BD$8,SAData!$AA$5:$AI$5,0)+4,FALSE)</f>
        <v>2910</v>
      </c>
      <c r="K38" s="9">
        <f>VLOOKUP($AP37,SAData!$W$7:$AI$40,MATCH(BE$8,SAData!$AA$5:$AI$5,0)+4,FALSE)</f>
        <v>3410</v>
      </c>
      <c r="L38" s="26"/>
      <c r="AO38">
        <f t="shared" si="8"/>
        <v>7</v>
      </c>
      <c r="AP38">
        <f>IF(ISNUMBER(VLOOKUP($AO38,OWData!$AI$4:$AL$94,2,FALSE)),AO38,AP39)</f>
        <v>7</v>
      </c>
      <c r="AR38" t="s">
        <v>1354</v>
      </c>
      <c r="AU38" t="s">
        <v>1177</v>
      </c>
      <c r="AX38" s="54" t="str">
        <f t="shared" si="2"/>
        <v>Bulgaria          9,999   11,549  13,629</v>
      </c>
      <c r="BA38" s="54" t="str">
        <f t="shared" si="3"/>
        <v>Bulgaria          5,340   6,150   7,250</v>
      </c>
      <c r="BD38" s="54" t="str">
        <f t="shared" si="4"/>
        <v>Bulgaria          2,370   2,910   3,410</v>
      </c>
      <c r="BI38" s="54">
        <f t="shared" si="5"/>
      </c>
      <c r="BJ38" s="54"/>
      <c r="BK38" s="54"/>
      <c r="BL38" s="54">
        <f t="shared" si="6"/>
      </c>
      <c r="BM38" s="54"/>
      <c r="BN38" s="54"/>
      <c r="BO38" s="54">
        <f t="shared" si="7"/>
      </c>
    </row>
    <row r="39" spans="1:67" ht="12.75">
      <c r="A39" s="63">
        <f>VLOOKUP(AO38,SAData!$W$7:$AJ$40,14,FALSE)</f>
        <v>39563</v>
      </c>
      <c r="B39" s="13" t="str">
        <f>VLOOKUP(AO38,SAData!$W$7:$AI$40,3,FALSE)</f>
        <v>Euro-Area</v>
      </c>
      <c r="C39" s="7">
        <f>VLOOKUP($AP38,SAData!$W$7:$AI$40,MATCH(AW$8,SAData!$AA$5:$AI$5,0)+4,FALSE)</f>
        <v>10059</v>
      </c>
      <c r="D39" s="8">
        <f>VLOOKUP($AP38,SAData!$W$7:$AI$40,MATCH(AX$8,SAData!$AA$5:$AI$5,0)+4,FALSE)</f>
        <v>11549</v>
      </c>
      <c r="E39" s="9">
        <f>VLOOKUP($AP38,SAData!$W$7:$AI$40,MATCH(AY$8,SAData!$AA$5:$AI$5,0)+4,FALSE)</f>
        <v>13629</v>
      </c>
      <c r="F39" s="7">
        <f>VLOOKUP($AP38,SAData!$W$7:$AI$40,MATCH(AZ$8,SAData!$AA$5:$AI$5,0)+4,FALSE)</f>
        <v>5669</v>
      </c>
      <c r="G39" s="8">
        <f>VLOOKUP($AP38,SAData!$W$7:$AI$40,MATCH(BA$8,SAData!$AA$5:$AI$5,0)+4,FALSE)</f>
        <v>6559</v>
      </c>
      <c r="H39" s="9">
        <f>VLOOKUP($AP38,SAData!$W$7:$AI$40,MATCH(BB$8,SAData!$AA$5:$AI$5,0)+4,FALSE)</f>
        <v>7748.999999999999</v>
      </c>
      <c r="I39" s="7">
        <f>VLOOKUP($AP38,SAData!$W$7:$AI$40,MATCH(BC$8,SAData!$AA$5:$AI$5,0)+4,FALSE)</f>
        <v>2519</v>
      </c>
      <c r="J39" s="8">
        <f>VLOOKUP($AP38,SAData!$W$7:$AI$40,MATCH(BD$8,SAData!$AA$5:$AI$5,0)+4,FALSE)</f>
        <v>3049</v>
      </c>
      <c r="K39" s="9">
        <f>VLOOKUP($AP38,SAData!$W$7:$AI$40,MATCH(BE$8,SAData!$AA$5:$AI$5,0)+4,FALSE)</f>
        <v>3569</v>
      </c>
      <c r="L39" s="26"/>
      <c r="AO39">
        <f t="shared" si="8"/>
        <v>6</v>
      </c>
      <c r="AP39">
        <f>IF(ISNUMBER(VLOOKUP($AO39,OWData!$AI$4:$AL$94,2,FALSE)),AO39,AP40)</f>
        <v>6</v>
      </c>
      <c r="AR39" t="s">
        <v>1347</v>
      </c>
      <c r="AU39" t="s">
        <v>1013</v>
      </c>
      <c r="AX39" s="54" t="str">
        <f t="shared" si="2"/>
        <v>Euro-Area         10,059  11,549  13,629</v>
      </c>
      <c r="BA39" s="54" t="str">
        <f t="shared" si="3"/>
        <v>Euro-Area         5,669   6,559   7,749</v>
      </c>
      <c r="BD39" s="54" t="str">
        <f t="shared" si="4"/>
        <v>Euro-Area         2,519   3,049   3,569</v>
      </c>
      <c r="BI39" s="54">
        <f t="shared" si="5"/>
      </c>
      <c r="BJ39" s="54"/>
      <c r="BK39" s="54"/>
      <c r="BL39" s="54">
        <f t="shared" si="6"/>
      </c>
      <c r="BM39" s="54"/>
      <c r="BN39" s="54"/>
      <c r="BO39" s="54">
        <f t="shared" si="7"/>
      </c>
    </row>
    <row r="40" spans="1:67" ht="12.75">
      <c r="A40" s="63">
        <f>VLOOKUP(AO39,SAData!$W$7:$AJ$40,14,FALSE)</f>
        <v>39563</v>
      </c>
      <c r="B40" s="13" t="str">
        <f>VLOOKUP(AO39,SAData!$W$7:$AI$40,3,FALSE)</f>
        <v>Sweden</v>
      </c>
      <c r="C40" s="7">
        <f>VLOOKUP($AP39,SAData!$W$7:$AI$40,MATCH(AW$8,SAData!$AA$5:$AI$5,0)+4,FALSE)</f>
        <v>10070.674485344127</v>
      </c>
      <c r="D40" s="8">
        <f>VLOOKUP($AP39,SAData!$W$7:$AI$40,MATCH(AX$8,SAData!$AA$5:$AI$5,0)+4,FALSE)</f>
        <v>11562.66575983279</v>
      </c>
      <c r="E40" s="9">
        <f>VLOOKUP($AP39,SAData!$W$7:$AI$40,MATCH(AY$8,SAData!$AA$5:$AI$5,0)+4,FALSE)</f>
        <v>13645.481313139691</v>
      </c>
      <c r="F40" s="7">
        <f>VLOOKUP($AP39,SAData!$W$7:$AI$40,MATCH(AZ$8,SAData!$AA$5:$AI$5,0)+4,FALSE)</f>
        <v>5051.867524841166</v>
      </c>
      <c r="G40" s="8">
        <f>VLOOKUP($AP39,SAData!$W$7:$AI$40,MATCH(BA$8,SAData!$AA$5:$AI$5,0)+4,FALSE)</f>
        <v>5829.32402169766</v>
      </c>
      <c r="H40" s="9">
        <f>VLOOKUP($AP39,SAData!$W$7:$AI$40,MATCH(BB$8,SAData!$AA$5:$AI$5,0)+4,FALSE)</f>
        <v>6866.999153990346</v>
      </c>
      <c r="I40" s="7">
        <f>VLOOKUP($AP39,SAData!$W$7:$AI$40,MATCH(BC$8,SAData!$AA$5:$AI$5,0)+4,FALSE)</f>
        <v>2277.9795298840468</v>
      </c>
      <c r="J40" s="8">
        <f>VLOOKUP($AP39,SAData!$W$7:$AI$40,MATCH(BD$8,SAData!$AA$5:$AI$5,0)+4,FALSE)</f>
        <v>2778.1538742265648</v>
      </c>
      <c r="K40" s="9">
        <f>VLOOKUP($AP39,SAData!$W$7:$AI$40,MATCH(BE$8,SAData!$AA$5:$AI$5,0)+4,FALSE)</f>
        <v>3255.9323524044926</v>
      </c>
      <c r="L40" s="26"/>
      <c r="AO40">
        <f t="shared" si="8"/>
        <v>5</v>
      </c>
      <c r="AP40">
        <f>IF(ISNUMBER(VLOOKUP($AO40,OWData!$AI$4:$AL$94,2,FALSE)),AO40,AP41)</f>
        <v>5</v>
      </c>
      <c r="AR40" t="s">
        <v>998</v>
      </c>
      <c r="AU40" t="s">
        <v>1525</v>
      </c>
      <c r="AX40" s="54" t="str">
        <f t="shared" si="2"/>
        <v>Sweden            10,071  11,563  13,645</v>
      </c>
      <c r="BA40" s="54" t="str">
        <f t="shared" si="3"/>
        <v>Sweden            5,052   5,829   6,867</v>
      </c>
      <c r="BD40" s="54" t="str">
        <f t="shared" si="4"/>
        <v>Sweden            2,278   2,778   3,256</v>
      </c>
      <c r="BI40" s="54">
        <f t="shared" si="5"/>
      </c>
      <c r="BJ40" s="54"/>
      <c r="BK40" s="54"/>
      <c r="BL40" s="54">
        <f t="shared" si="6"/>
      </c>
      <c r="BM40" s="54"/>
      <c r="BN40" s="54"/>
      <c r="BO40" s="54">
        <f t="shared" si="7"/>
      </c>
    </row>
    <row r="41" spans="1:67" ht="12.75">
      <c r="A41" s="63">
        <f>VLOOKUP(AO40,SAData!$W$7:$AJ$40,14,FALSE)</f>
        <v>39563</v>
      </c>
      <c r="B41" s="13" t="str">
        <f>VLOOKUP(AO40,SAData!$W$7:$AI$40,3,FALSE)</f>
        <v>Latvia</v>
      </c>
      <c r="C41" s="7">
        <f>VLOOKUP($AP40,SAData!$W$7:$AI$40,MATCH(AW$8,SAData!$AA$5:$AI$5,0)+4,FALSE)</f>
        <v>10194.304719708098</v>
      </c>
      <c r="D41" s="8">
        <f>VLOOKUP($AP40,SAData!$W$7:$AI$40,MATCH(AX$8,SAData!$AA$5:$AI$5,0)+4,FALSE)</f>
        <v>11691.525790172012</v>
      </c>
      <c r="E41" s="9">
        <f>VLOOKUP($AP40,SAData!$W$7:$AI$40,MATCH(AY$8,SAData!$AA$5:$AI$5,0)+4,FALSE)</f>
        <v>13793.60132445624</v>
      </c>
      <c r="F41" s="7">
        <f>VLOOKUP($AP40,SAData!$W$7:$AI$40,MATCH(AZ$8,SAData!$AA$5:$AI$5,0)+4,FALSE)</f>
        <v>5385.299187319339</v>
      </c>
      <c r="G41" s="8">
        <f>VLOOKUP($AP40,SAData!$W$7:$AI$40,MATCH(BA$8,SAData!$AA$5:$AI$5,0)+4,FALSE)</f>
        <v>6219.909491541488</v>
      </c>
      <c r="H41" s="9">
        <f>VLOOKUP($AP40,SAData!$W$7:$AI$40,MATCH(BB$8,SAData!$AA$5:$AI$5,0)+4,FALSE)</f>
        <v>7314.740498981188</v>
      </c>
      <c r="I41" s="7">
        <f>VLOOKUP($AP40,SAData!$W$7:$AI$40,MATCH(BC$8,SAData!$AA$5:$AI$5,0)+4,FALSE)</f>
        <v>2433.3809174051084</v>
      </c>
      <c r="J41" s="8">
        <f>VLOOKUP($AP40,SAData!$W$7:$AI$40,MATCH(BD$8,SAData!$AA$5:$AI$5,0)+4,FALSE)</f>
        <v>2865.6011586030427</v>
      </c>
      <c r="K41" s="9">
        <f>VLOOKUP($AP40,SAData!$W$7:$AI$40,MATCH(BE$8,SAData!$AA$5:$AI$5,0)+4,FALSE)</f>
        <v>3354.943017580439</v>
      </c>
      <c r="L41" s="26"/>
      <c r="AO41">
        <f t="shared" si="8"/>
        <v>4</v>
      </c>
      <c r="AP41">
        <f>IF(ISNUMBER(VLOOKUP($AO41,OWData!$AI$4:$AL$94,2,FALSE)),AO41,AP42)</f>
        <v>4</v>
      </c>
      <c r="AR41" t="s">
        <v>1276</v>
      </c>
      <c r="AU41" t="s">
        <v>1198</v>
      </c>
      <c r="AX41" s="54" t="str">
        <f t="shared" si="2"/>
        <v>Latvia            10,194  11,692  13,794</v>
      </c>
      <c r="BA41" s="54" t="str">
        <f t="shared" si="3"/>
        <v>Latvia            5,385   6,220   7,315</v>
      </c>
      <c r="BD41" s="54" t="str">
        <f t="shared" si="4"/>
        <v>Latvia            2,433   2,866   3,355</v>
      </c>
      <c r="BI41" s="54">
        <f t="shared" si="5"/>
      </c>
      <c r="BJ41" s="54"/>
      <c r="BK41" s="54"/>
      <c r="BL41" s="54">
        <f t="shared" si="6"/>
      </c>
      <c r="BM41" s="54"/>
      <c r="BN41" s="54"/>
      <c r="BO41" s="54">
        <f t="shared" si="7"/>
      </c>
    </row>
    <row r="42" spans="1:67" ht="12.75">
      <c r="A42" s="63">
        <f>VLOOKUP(AO41,SAData!$W$7:$AJ$40,14,FALSE)</f>
        <v>39563</v>
      </c>
      <c r="B42" s="13" t="str">
        <f>VLOOKUP(AO41,SAData!$W$7:$AI$40,3,FALSE)</f>
        <v>Turkey</v>
      </c>
      <c r="C42" s="7">
        <f>VLOOKUP($AP41,SAData!$W$7:$AI$40,MATCH(AW$8,SAData!$AA$5:$AI$5,0)+4,FALSE)</f>
        <v>10244.276761734236</v>
      </c>
      <c r="D42" s="8">
        <f>VLOOKUP($AP41,SAData!$W$7:$AI$40,MATCH(AX$8,SAData!$AA$5:$AI$5,0)+4,FALSE)</f>
        <v>11761.73423711472</v>
      </c>
      <c r="E42" s="9">
        <f>VLOOKUP($AP41,SAData!$W$7:$AI$40,MATCH(AY$8,SAData!$AA$5:$AI$5,0)+4,FALSE)</f>
        <v>13880.29159739097</v>
      </c>
      <c r="F42" s="7">
        <f>VLOOKUP($AP41,SAData!$W$7:$AI$40,MATCH(AZ$8,SAData!$AA$5:$AI$5,0)+4,FALSE)</f>
        <v>5773.756234812636</v>
      </c>
      <c r="G42" s="8">
        <f>VLOOKUP($AP41,SAData!$W$7:$AI$40,MATCH(BA$8,SAData!$AA$5:$AI$5,0)+4,FALSE)</f>
        <v>6679.882337894871</v>
      </c>
      <c r="H42" s="9">
        <f>VLOOKUP($AP41,SAData!$W$7:$AI$40,MATCH(BB$8,SAData!$AA$5:$AI$5,0)+4,FALSE)</f>
        <v>7891.674127126232</v>
      </c>
      <c r="I42" s="7">
        <f>VLOOKUP($AP41,SAData!$W$7:$AI$40,MATCH(BC$8,SAData!$AA$5:$AI$5,0)+4,FALSE)</f>
        <v>2565.5454661721446</v>
      </c>
      <c r="J42" s="8">
        <f>VLOOKUP($AP41,SAData!$W$7:$AI$40,MATCH(BD$8,SAData!$AA$5:$AI$5,0)+4,FALSE)</f>
        <v>3105.2564266530244</v>
      </c>
      <c r="K42" s="9">
        <f>VLOOKUP($AP41,SAData!$W$7:$AI$40,MATCH(BE$8,SAData!$AA$5:$AI$5,0)+4,FALSE)</f>
        <v>3634.735899731423</v>
      </c>
      <c r="L42" s="26"/>
      <c r="AO42">
        <f t="shared" si="8"/>
        <v>3</v>
      </c>
      <c r="AP42">
        <f>IF(ISNUMBER(VLOOKUP($AO42,OWData!$AI$4:$AL$94,2,FALSE)),AO42,AP44)</f>
        <v>3</v>
      </c>
      <c r="AR42" t="s">
        <v>1348</v>
      </c>
      <c r="AX42" s="54" t="str">
        <f t="shared" si="2"/>
        <v>Turkey            10,244  11,762  13,880</v>
      </c>
      <c r="BA42" s="54" t="str">
        <f t="shared" si="3"/>
        <v>Turkey            5,774   6,680   7,892</v>
      </c>
      <c r="BD42" s="54" t="str">
        <f t="shared" si="4"/>
        <v>Turkey            2,566   3,105   3,635</v>
      </c>
      <c r="BI42" s="54">
        <f t="shared" si="5"/>
      </c>
      <c r="BJ42" s="54"/>
      <c r="BK42" s="54"/>
      <c r="BL42" s="54">
        <f t="shared" si="6"/>
      </c>
      <c r="BM42" s="54"/>
      <c r="BN42" s="54"/>
      <c r="BO42" s="54">
        <f t="shared" si="7"/>
      </c>
    </row>
    <row r="43" spans="1:67" ht="12.75">
      <c r="A43" s="63">
        <f>VLOOKUP(AO42,SAData!$W$7:$AJ$40,14,FALSE)</f>
        <v>39563</v>
      </c>
      <c r="B43" s="13" t="str">
        <f>VLOOKUP(AO42,SAData!$W$7:$AI$40,3,FALSE)</f>
        <v>Switzerland</v>
      </c>
      <c r="C43" s="7">
        <f>VLOOKUP($AP42,SAData!$W$7:$AI$40,MATCH(AW$8,SAData!$AA$5:$AI$5,0)+4,FALSE)</f>
        <v>10250.83085198348</v>
      </c>
      <c r="D43" s="8">
        <f>VLOOKUP($AP42,SAData!$W$7:$AI$40,MATCH(AX$8,SAData!$AA$5:$AI$5,0)+4,FALSE)</f>
        <v>11732.878686005188</v>
      </c>
      <c r="E43" s="9">
        <f>VLOOKUP($AP42,SAData!$W$7:$AI$40,MATCH(AY$8,SAData!$AA$5:$AI$5,0)+4,FALSE)</f>
        <v>13894.198443953512</v>
      </c>
      <c r="F43" s="7">
        <f>VLOOKUP($AP42,SAData!$W$7:$AI$40,MATCH(AZ$8,SAData!$AA$5:$AI$5,0)+4,FALSE)</f>
        <v>5804.687349918356</v>
      </c>
      <c r="G43" s="8">
        <f>VLOOKUP($AP42,SAData!$W$7:$AI$40,MATCH(BA$8,SAData!$AA$5:$AI$5,0)+4,FALSE)</f>
        <v>6669.2152530976855</v>
      </c>
      <c r="H43" s="9">
        <f>VLOOKUP($AP42,SAData!$W$7:$AI$40,MATCH(BB$8,SAData!$AA$5:$AI$5,0)+4,FALSE)</f>
        <v>7904.255114782442</v>
      </c>
      <c r="I43" s="7">
        <f>VLOOKUP($AP42,SAData!$W$7:$AI$40,MATCH(BC$8,SAData!$AA$5:$AI$5,0)+4,FALSE)</f>
        <v>2593.583709537989</v>
      </c>
      <c r="J43" s="8">
        <f>VLOOKUP($AP42,SAData!$W$7:$AI$40,MATCH(BD$8,SAData!$AA$5:$AI$5,0)+4,FALSE)</f>
        <v>3149.3516472961296</v>
      </c>
      <c r="K43" s="9">
        <f>VLOOKUP($AP42,SAData!$W$7:$AI$40,MATCH(BE$8,SAData!$AA$5:$AI$5,0)+4,FALSE)</f>
        <v>3643.367591970032</v>
      </c>
      <c r="L43" s="26"/>
      <c r="AO43">
        <f>MAX(0,AO42-1)</f>
        <v>2</v>
      </c>
      <c r="AP43">
        <f>IF(ISNUMBER(VLOOKUP($AO43,OWData!$AI$4:$AL$94,2,FALSE)),AO43,AP45)</f>
        <v>2</v>
      </c>
      <c r="AR43" t="s">
        <v>1349</v>
      </c>
      <c r="AX43" s="54" t="str">
        <f>$B43&amp;REPT(" ",$AX$9-LEN($B43))&amp;TEXT(C43,"0,0")&amp;REPT(" ",$AY$9-LEN(TEXT(C43,"0,0")))&amp;TEXT(D43,"0,0")&amp;REPT(" ",$AY$9-LEN(TEXT(D43,"0,0")))&amp;TEXT(E43,"0,0")</f>
        <v>Switzerland       10,251  11,733  13,894</v>
      </c>
      <c r="BA43" s="54" t="str">
        <f>$B43&amp;REPT(" ",$AX$9-LEN($B43))&amp;TEXT(F43,"0,0")&amp;REPT(" ",$AY$9-LEN(TEXT(F43,"0,0")))&amp;TEXT(G43,"0,0")&amp;REPT(" ",$AY$9-LEN(TEXT(G43,"0,0")))&amp;TEXT(H43,"0,0")</f>
        <v>Switzerland       5,805   6,669   7,904</v>
      </c>
      <c r="BD43" s="54" t="str">
        <f>$B43&amp;REPT(" ",$AX$9-LEN($B43))&amp;TEXT(I43,"0,0")&amp;REPT(" ",$AY$9-LEN(TEXT(I43,"0,0")))&amp;TEXT(J43,"0,0")&amp;REPT(" ",$AY$9-LEN(TEXT(J43,"0,0")))&amp;TEXT(K43,"0,0")</f>
        <v>Switzerland       2,594   3,149   3,643</v>
      </c>
      <c r="BI43" s="54">
        <f>IF($A43="",AX43,"")</f>
      </c>
      <c r="BJ43" s="54"/>
      <c r="BK43" s="54"/>
      <c r="BL43" s="54">
        <f>IF($A43="",BA43,"")</f>
      </c>
      <c r="BM43" s="54"/>
      <c r="BN43" s="54"/>
      <c r="BO43" s="54">
        <f>IF($A43="",BD43,"")</f>
      </c>
    </row>
    <row r="44" spans="1:67" ht="12.75">
      <c r="A44" s="63">
        <f>VLOOKUP(AO43,SAData!$W$7:$AJ$40,14,FALSE)</f>
        <v>39563</v>
      </c>
      <c r="B44" s="13" t="str">
        <f>VLOOKUP(AO43,SAData!$W$7:$AI$40,3,FALSE)</f>
        <v>Norway</v>
      </c>
      <c r="C44" s="7">
        <f>VLOOKUP($AP43,SAData!$W$7:$AI$40,MATCH(AW$8,SAData!$AA$5:$AI$5,0)+4,FALSE)</f>
        <v>10327.533919376627</v>
      </c>
      <c r="D44" s="8">
        <f>VLOOKUP($AP43,SAData!$W$7:$AI$40,MATCH(AX$8,SAData!$AA$5:$AI$5,0)+4,FALSE)</f>
        <v>11858.098361297649</v>
      </c>
      <c r="E44" s="9">
        <f>VLOOKUP($AP43,SAData!$W$7:$AI$40,MATCH(AY$8,SAData!$AA$5:$AI$5,0)+4,FALSE)</f>
        <v>13992.832977661177</v>
      </c>
      <c r="F44" s="7">
        <f>VLOOKUP($AP43,SAData!$W$7:$AI$40,MATCH(AZ$8,SAData!$AA$5:$AI$5,0)+4,FALSE)</f>
        <v>5421.16862775809</v>
      </c>
      <c r="G44" s="8">
        <f>VLOOKUP($AP43,SAData!$W$7:$AI$40,MATCH(BA$8,SAData!$AA$5:$AI$5,0)+4,FALSE)</f>
        <v>6255.678681206805</v>
      </c>
      <c r="H44" s="9">
        <f>VLOOKUP($AP43,SAData!$W$7:$AI$40,MATCH(BB$8,SAData!$AA$5:$AI$5,0)+4,FALSE)</f>
        <v>7369.617440335181</v>
      </c>
      <c r="I44" s="7">
        <f>VLOOKUP($AP43,SAData!$W$7:$AI$40,MATCH(BC$8,SAData!$AA$5:$AI$5,0)+4,FALSE)</f>
        <v>2451.9239579458463</v>
      </c>
      <c r="J44" s="8">
        <f>VLOOKUP($AP43,SAData!$W$7:$AI$40,MATCH(BD$8,SAData!$AA$5:$AI$5,0)+4,FALSE)</f>
        <v>2990.6423634904163</v>
      </c>
      <c r="K44" s="9">
        <f>VLOOKUP($AP43,SAData!$W$7:$AI$40,MATCH(BE$8,SAData!$AA$5:$AI$5,0)+4,FALSE)</f>
        <v>3506.704387493392</v>
      </c>
      <c r="L44" s="26"/>
      <c r="AO44">
        <f>MAX(0,AO43-1)</f>
        <v>1</v>
      </c>
      <c r="AP44">
        <f>IF(ISNUMBER(VLOOKUP($AO44,OWData!$AI$4:$AL$94,2,FALSE)),AO44,AP46)</f>
        <v>1</v>
      </c>
      <c r="AR44" t="s">
        <v>1256</v>
      </c>
      <c r="AX44" s="54" t="str">
        <f>$B44&amp;REPT(" ",$AX$9-LEN($B44))&amp;TEXT(C44,"0,0")&amp;REPT(" ",$AY$9-LEN(TEXT(C44,"0,0")))&amp;TEXT(D44,"0,0")&amp;REPT(" ",$AY$9-LEN(TEXT(D44,"0,0")))&amp;TEXT(E44,"0,0")</f>
        <v>Norway            10,328  11,858  13,993</v>
      </c>
      <c r="BA44" s="54" t="str">
        <f>$B44&amp;REPT(" ",$AX$9-LEN($B44))&amp;TEXT(F44,"0,0")&amp;REPT(" ",$AY$9-LEN(TEXT(F44,"0,0")))&amp;TEXT(G44,"0,0")&amp;REPT(" ",$AY$9-LEN(TEXT(G44,"0,0")))&amp;TEXT(H44,"0,0")</f>
        <v>Norway            5,421   6,256   7,370</v>
      </c>
      <c r="BD44" s="54" t="str">
        <f>$B44&amp;REPT(" ",$AX$9-LEN($B44))&amp;TEXT(I44,"0,0")&amp;REPT(" ",$AY$9-LEN(TEXT(I44,"0,0")))&amp;TEXT(J44,"0,0")&amp;REPT(" ",$AY$9-LEN(TEXT(J44,"0,0")))&amp;TEXT(K44,"0,0")</f>
        <v>Norway            2,452   2,991   3,507</v>
      </c>
      <c r="BI44" s="54">
        <f>IF($A44="",AX44,"")</f>
      </c>
      <c r="BJ44" s="54"/>
      <c r="BK44" s="54"/>
      <c r="BL44" s="54">
        <f>IF($A44="",BA44,"")</f>
      </c>
      <c r="BM44" s="54"/>
      <c r="BN44" s="54"/>
      <c r="BO44" s="54">
        <f>IF($A44="",BD44,"")</f>
      </c>
    </row>
    <row r="45" spans="1:67" ht="12.75">
      <c r="A45" s="63">
        <f>VLOOKUP(AO44,SAData!$W$7:$AJ$40,14,FALSE)</f>
        <v>39563</v>
      </c>
      <c r="B45" s="14" t="str">
        <f>VLOOKUP(AO44,SAData!$W$7:$AI$40,3,FALSE)</f>
        <v>Poland</v>
      </c>
      <c r="C45" s="10">
        <f>VLOOKUP($AP44,SAData!$W$7:$AI$40,MATCH(AW$8,SAData!$AA$5:$AI$5,0)+4,FALSE)</f>
        <v>12000.59365788623</v>
      </c>
      <c r="D45" s="11">
        <f>VLOOKUP($AP44,SAData!$W$7:$AI$40,MATCH(AX$8,SAData!$AA$5:$AI$5,0)+4,FALSE)</f>
        <v>13778.642413489699</v>
      </c>
      <c r="E45" s="12">
        <f>VLOOKUP($AP44,SAData!$W$7:$AI$40,MATCH(AY$8,SAData!$AA$5:$AI$5,0)+4,FALSE)</f>
        <v>16258.42247341694</v>
      </c>
      <c r="F45" s="10">
        <f>VLOOKUP($AP44,SAData!$W$7:$AI$40,MATCH(AZ$8,SAData!$AA$5:$AI$5,0)+4,FALSE)</f>
        <v>6370.929560100037</v>
      </c>
      <c r="G45" s="11">
        <f>VLOOKUP($AP44,SAData!$W$7:$AI$40,MATCH(BA$8,SAData!$AA$5:$AI$5,0)+4,FALSE)</f>
        <v>7373.12046514835</v>
      </c>
      <c r="H45" s="12">
        <f>VLOOKUP($AP44,SAData!$W$7:$AI$40,MATCH(BB$8,SAData!$AA$5:$AI$5,0)+4,FALSE)</f>
        <v>8689.607926217734</v>
      </c>
      <c r="I45" s="10">
        <f>VLOOKUP($AP44,SAData!$W$7:$AI$40,MATCH(BC$8,SAData!$AA$5:$AI$5,0)+4,FALSE)</f>
        <v>2833.610773938381</v>
      </c>
      <c r="J45" s="11">
        <f>VLOOKUP($AP44,SAData!$W$7:$AI$40,MATCH(BD$8,SAData!$AA$5:$AI$5,0)+4,FALSE)</f>
        <v>3424.646435889951</v>
      </c>
      <c r="K45" s="12">
        <f>VLOOKUP($AP44,SAData!$W$7:$AI$40,MATCH(BE$8,SAData!$AA$5:$AI$5,0)+4,FALSE)</f>
        <v>4011.728682042514</v>
      </c>
      <c r="L45" s="26"/>
      <c r="AR45" t="s">
        <v>1324</v>
      </c>
      <c r="AX45" s="54" t="str">
        <f>$B45&amp;REPT(" ",$AX$9-LEN($B45))&amp;TEXT(C45,"0,0")&amp;REPT(" ",$AY$9-LEN(TEXT(C45,"0,0")))&amp;TEXT(D45,"0,0")&amp;REPT(" ",$AY$9-LEN(TEXT(D45,"0,0")))&amp;TEXT(E45,"0,0")</f>
        <v>Poland            12,001  13,779  16,258</v>
      </c>
      <c r="BA45" s="54" t="str">
        <f>$B45&amp;REPT(" ",$AX$9-LEN($B45))&amp;TEXT(F45,"0,0")&amp;REPT(" ",$AY$9-LEN(TEXT(F45,"0,0")))&amp;TEXT(G45,"0,0")&amp;REPT(" ",$AY$9-LEN(TEXT(G45,"0,0")))&amp;TEXT(H45,"0,0")</f>
        <v>Poland            6,371   7,373   8,690</v>
      </c>
      <c r="BD45" s="54" t="str">
        <f>$B45&amp;REPT(" ",$AX$9-LEN($B45))&amp;TEXT(I45,"0,0")&amp;REPT(" ",$AY$9-LEN(TEXT(I45,"0,0")))&amp;TEXT(J45,"0,0")&amp;REPT(" ",$AY$9-LEN(TEXT(J45,"0,0")))&amp;TEXT(K45,"0,0")</f>
        <v>Poland            2,834   3,425   4,012</v>
      </c>
      <c r="BI45" s="54">
        <f>IF($A45="",AX45,"")</f>
      </c>
      <c r="BJ45" s="54"/>
      <c r="BK45" s="54"/>
      <c r="BL45" s="54">
        <f>IF($A45="",BA45,"")</f>
      </c>
      <c r="BM45" s="54"/>
      <c r="BN45" s="54"/>
      <c r="BO45" s="54">
        <f>IF($A45="",BD45,"")</f>
      </c>
    </row>
    <row r="46" spans="1:50" ht="12.75">
      <c r="A46" s="26"/>
      <c r="B46" s="26"/>
      <c r="C46" s="26"/>
      <c r="D46" s="26"/>
      <c r="E46" s="26"/>
      <c r="F46" s="26"/>
      <c r="G46" s="26"/>
      <c r="H46" s="26"/>
      <c r="I46" s="26"/>
      <c r="J46" s="26"/>
      <c r="K46" s="26"/>
      <c r="L46" s="26"/>
      <c r="AR46" t="s">
        <v>1277</v>
      </c>
      <c r="AX46" s="54"/>
    </row>
    <row r="47" spans="1:44" ht="12.75" hidden="1">
      <c r="A47" s="26"/>
      <c r="B47" s="26"/>
      <c r="C47" s="26"/>
      <c r="D47" s="26"/>
      <c r="E47" s="26"/>
      <c r="F47" s="26"/>
      <c r="G47" s="26"/>
      <c r="H47" s="26"/>
      <c r="I47" s="26"/>
      <c r="J47" s="26"/>
      <c r="K47" s="26"/>
      <c r="L47" s="26"/>
      <c r="AO47">
        <f aca="true" t="shared" si="9" ref="AO47:AO83">MAX(0,AO46-1)</f>
        <v>0</v>
      </c>
      <c r="AP47">
        <f>IF(ISNUMBER(VLOOKUP($AO47,OWData!$AI$4:$AL$94,2,FALSE)),AO47,AP48)</f>
        <v>1</v>
      </c>
      <c r="AR47" t="s">
        <v>1166</v>
      </c>
    </row>
    <row r="48" spans="1:44" ht="12.75" hidden="1">
      <c r="A48" s="26"/>
      <c r="B48" s="26"/>
      <c r="C48" s="26"/>
      <c r="D48" s="26"/>
      <c r="E48" s="26"/>
      <c r="F48" s="26"/>
      <c r="G48" s="26"/>
      <c r="H48" s="26"/>
      <c r="I48" s="26"/>
      <c r="J48" s="26"/>
      <c r="K48" s="26"/>
      <c r="L48" s="26"/>
      <c r="AO48">
        <f t="shared" si="9"/>
        <v>0</v>
      </c>
      <c r="AP48">
        <f>IF(ISNUMBER(VLOOKUP($AO48,OWData!$AI$4:$AL$94,2,FALSE)),AO48,AP49)</f>
        <v>1</v>
      </c>
      <c r="AR48" t="s">
        <v>1350</v>
      </c>
    </row>
    <row r="49" spans="1:44" ht="12.75" hidden="1">
      <c r="A49" s="26"/>
      <c r="B49" s="26"/>
      <c r="C49" s="26"/>
      <c r="D49" s="26"/>
      <c r="E49" s="26"/>
      <c r="F49" s="26"/>
      <c r="G49" s="26"/>
      <c r="H49" s="26"/>
      <c r="I49" s="26"/>
      <c r="J49" s="26"/>
      <c r="K49" s="26"/>
      <c r="L49" s="26"/>
      <c r="AO49">
        <f t="shared" si="9"/>
        <v>0</v>
      </c>
      <c r="AP49">
        <f>IF(ISNUMBER(VLOOKUP($AO49,OWData!$AI$4:$AL$94,2,FALSE)),AO49,AP50)</f>
        <v>1</v>
      </c>
      <c r="AR49" t="s">
        <v>1281</v>
      </c>
    </row>
    <row r="50" spans="1:44" ht="12.75" hidden="1">
      <c r="A50" s="26"/>
      <c r="B50" s="26"/>
      <c r="C50" s="26"/>
      <c r="D50" s="26"/>
      <c r="E50" s="26"/>
      <c r="F50" s="26"/>
      <c r="G50" s="26"/>
      <c r="H50" s="26"/>
      <c r="I50" s="26"/>
      <c r="J50" s="26"/>
      <c r="K50" s="26"/>
      <c r="L50" s="26"/>
      <c r="AO50">
        <f t="shared" si="9"/>
        <v>0</v>
      </c>
      <c r="AP50">
        <f>IF(ISNUMBER(VLOOKUP($AO50,OWData!$AI$4:$AL$94,2,FALSE)),AO50,AP51)</f>
        <v>1</v>
      </c>
      <c r="AR50" t="s">
        <v>1327</v>
      </c>
    </row>
    <row r="51" spans="1:44" ht="12.75" hidden="1">
      <c r="A51" s="26"/>
      <c r="B51" s="26"/>
      <c r="C51" s="26"/>
      <c r="D51" s="26"/>
      <c r="E51" s="26"/>
      <c r="F51" s="26"/>
      <c r="G51" s="26"/>
      <c r="H51" s="26"/>
      <c r="I51" s="26"/>
      <c r="J51" s="26"/>
      <c r="K51" s="26"/>
      <c r="L51" s="26"/>
      <c r="AO51">
        <f t="shared" si="9"/>
        <v>0</v>
      </c>
      <c r="AP51">
        <f>IF(ISNUMBER(VLOOKUP($AO51,OWData!$AI$4:$AL$94,2,FALSE)),AO51,AP52)</f>
        <v>1</v>
      </c>
      <c r="AR51" t="s">
        <v>1167</v>
      </c>
    </row>
    <row r="52" spans="1:44" ht="12.75" hidden="1">
      <c r="A52" s="26"/>
      <c r="B52" s="26"/>
      <c r="C52" s="26"/>
      <c r="D52" s="26"/>
      <c r="E52" s="26"/>
      <c r="F52" s="26"/>
      <c r="G52" s="26"/>
      <c r="H52" s="26"/>
      <c r="I52" s="26"/>
      <c r="J52" s="26"/>
      <c r="K52" s="26"/>
      <c r="L52" s="26"/>
      <c r="AO52">
        <f t="shared" si="9"/>
        <v>0</v>
      </c>
      <c r="AP52">
        <f>IF(ISNUMBER(VLOOKUP($AO52,OWData!$AI$4:$AL$94,2,FALSE)),AO52,AP53)</f>
        <v>1</v>
      </c>
      <c r="AR52" t="s">
        <v>1279</v>
      </c>
    </row>
    <row r="53" spans="1:44" ht="12.75" hidden="1">
      <c r="A53" s="26"/>
      <c r="B53" s="26"/>
      <c r="C53" s="26"/>
      <c r="D53" s="26"/>
      <c r="E53" s="26"/>
      <c r="F53" s="26"/>
      <c r="G53" s="26"/>
      <c r="H53" s="26"/>
      <c r="I53" s="26"/>
      <c r="J53" s="26"/>
      <c r="K53" s="26"/>
      <c r="L53" s="26"/>
      <c r="AO53">
        <f t="shared" si="9"/>
        <v>0</v>
      </c>
      <c r="AP53">
        <f>IF(ISNUMBER(VLOOKUP($AO53,OWData!$AI$4:$AL$94,2,FALSE)),AO53,AP54)</f>
        <v>1</v>
      </c>
      <c r="AR53" t="s">
        <v>1251</v>
      </c>
    </row>
    <row r="54" spans="1:44" ht="12.75" hidden="1">
      <c r="A54" s="26"/>
      <c r="B54" s="26"/>
      <c r="C54" s="26"/>
      <c r="D54" s="26"/>
      <c r="E54" s="26"/>
      <c r="F54" s="26"/>
      <c r="G54" s="26"/>
      <c r="H54" s="26"/>
      <c r="I54" s="26"/>
      <c r="J54" s="26"/>
      <c r="K54" s="26"/>
      <c r="L54" s="26"/>
      <c r="AO54">
        <f t="shared" si="9"/>
        <v>0</v>
      </c>
      <c r="AP54">
        <f>IF(ISNUMBER(VLOOKUP($AO54,OWData!$AI$4:$AL$94,2,FALSE)),AO54,AP55)</f>
        <v>1</v>
      </c>
      <c r="AR54" t="s">
        <v>1168</v>
      </c>
    </row>
    <row r="55" spans="1:44" ht="12.75" hidden="1">
      <c r="A55" s="26"/>
      <c r="B55" s="26"/>
      <c r="C55" s="26"/>
      <c r="D55" s="26"/>
      <c r="E55" s="26"/>
      <c r="F55" s="26"/>
      <c r="G55" s="26"/>
      <c r="H55" s="26"/>
      <c r="I55" s="26"/>
      <c r="J55" s="26"/>
      <c r="K55" s="26"/>
      <c r="L55" s="26"/>
      <c r="AO55">
        <f t="shared" si="9"/>
        <v>0</v>
      </c>
      <c r="AP55">
        <f>IF(ISNUMBER(VLOOKUP($AO55,OWData!$AI$4:$AL$94,2,FALSE)),AO55,AP56)</f>
        <v>1</v>
      </c>
      <c r="AR55" t="s">
        <v>1165</v>
      </c>
    </row>
    <row r="56" spans="1:44" ht="12.75" hidden="1">
      <c r="A56" s="26"/>
      <c r="B56" s="26"/>
      <c r="C56" s="26"/>
      <c r="D56" s="26"/>
      <c r="E56" s="26"/>
      <c r="F56" s="26"/>
      <c r="G56" s="26"/>
      <c r="H56" s="26"/>
      <c r="I56" s="26"/>
      <c r="J56" s="26"/>
      <c r="K56" s="26"/>
      <c r="L56" s="26"/>
      <c r="AO56">
        <f t="shared" si="9"/>
        <v>0</v>
      </c>
      <c r="AP56">
        <f>IF(ISNUMBER(VLOOKUP($AO56,OWData!$AI$4:$AL$94,2,FALSE)),AO56,AP57)</f>
        <v>1</v>
      </c>
      <c r="AR56" t="s">
        <v>1257</v>
      </c>
    </row>
    <row r="57" spans="1:42" ht="12.75" hidden="1">
      <c r="A57" s="26"/>
      <c r="B57" s="26"/>
      <c r="C57" s="26"/>
      <c r="D57" s="26"/>
      <c r="E57" s="26"/>
      <c r="F57" s="26"/>
      <c r="G57" s="26"/>
      <c r="H57" s="26"/>
      <c r="I57" s="26"/>
      <c r="J57" s="26"/>
      <c r="K57" s="26"/>
      <c r="L57" s="26"/>
      <c r="AO57">
        <f t="shared" si="9"/>
        <v>0</v>
      </c>
      <c r="AP57">
        <f>IF(ISNUMBER(VLOOKUP($AO57,OWData!$AI$4:$AL$94,2,FALSE)),AO57,AP58)</f>
        <v>1</v>
      </c>
    </row>
    <row r="58" spans="1:42" ht="12.75" hidden="1">
      <c r="A58" s="26"/>
      <c r="B58" s="26"/>
      <c r="C58" s="26"/>
      <c r="D58" s="26"/>
      <c r="E58" s="26"/>
      <c r="F58" s="26"/>
      <c r="G58" s="26"/>
      <c r="H58" s="26"/>
      <c r="I58" s="26"/>
      <c r="J58" s="26"/>
      <c r="K58" s="26"/>
      <c r="L58" s="26"/>
      <c r="AO58">
        <f t="shared" si="9"/>
        <v>0</v>
      </c>
      <c r="AP58">
        <f>IF(ISNUMBER(VLOOKUP($AO58,OWData!$AI$4:$AL$94,2,FALSE)),AO58,AP59)</f>
        <v>1</v>
      </c>
    </row>
    <row r="59" spans="1:42" ht="12.75" hidden="1">
      <c r="A59" s="26"/>
      <c r="B59" s="26"/>
      <c r="C59" s="26"/>
      <c r="D59" s="26"/>
      <c r="E59" s="26"/>
      <c r="F59" s="26"/>
      <c r="G59" s="26"/>
      <c r="H59" s="26"/>
      <c r="I59" s="26"/>
      <c r="J59" s="26"/>
      <c r="K59" s="26"/>
      <c r="L59" s="26"/>
      <c r="AO59">
        <f t="shared" si="9"/>
        <v>0</v>
      </c>
      <c r="AP59">
        <f>IF(ISNUMBER(VLOOKUP($AO59,OWData!$AI$4:$AL$94,2,FALSE)),AO59,AP60)</f>
        <v>1</v>
      </c>
    </row>
    <row r="60" spans="1:42" ht="12.75" hidden="1">
      <c r="A60" s="26"/>
      <c r="B60" s="26"/>
      <c r="C60" s="26"/>
      <c r="D60" s="26"/>
      <c r="E60" s="26"/>
      <c r="F60" s="26"/>
      <c r="G60" s="26"/>
      <c r="H60" s="26"/>
      <c r="I60" s="26"/>
      <c r="J60" s="26"/>
      <c r="K60" s="26"/>
      <c r="L60" s="26"/>
      <c r="AO60">
        <f t="shared" si="9"/>
        <v>0</v>
      </c>
      <c r="AP60">
        <f>IF(ISNUMBER(VLOOKUP($AO60,OWData!$AI$4:$AL$94,2,FALSE)),AO60,AP61)</f>
        <v>1</v>
      </c>
    </row>
    <row r="61" spans="1:42" ht="12.75" hidden="1">
      <c r="A61" s="26"/>
      <c r="B61" s="26"/>
      <c r="C61" s="26"/>
      <c r="D61" s="26"/>
      <c r="E61" s="26"/>
      <c r="F61" s="26"/>
      <c r="G61" s="26"/>
      <c r="H61" s="26"/>
      <c r="I61" s="26"/>
      <c r="J61" s="26"/>
      <c r="K61" s="26"/>
      <c r="L61" s="26"/>
      <c r="AO61">
        <f t="shared" si="9"/>
        <v>0</v>
      </c>
      <c r="AP61">
        <f>IF(ISNUMBER(VLOOKUP($AO61,OWData!$AI$4:$AL$94,2,FALSE)),AO61,AP62)</f>
        <v>1</v>
      </c>
    </row>
    <row r="62" spans="1:42" ht="12.75" hidden="1">
      <c r="A62" s="26"/>
      <c r="B62" s="26"/>
      <c r="C62" s="26"/>
      <c r="D62" s="26"/>
      <c r="E62" s="26"/>
      <c r="F62" s="26"/>
      <c r="G62" s="26"/>
      <c r="H62" s="26"/>
      <c r="I62" s="26"/>
      <c r="J62" s="26"/>
      <c r="K62" s="26"/>
      <c r="L62" s="26"/>
      <c r="AO62">
        <f t="shared" si="9"/>
        <v>0</v>
      </c>
      <c r="AP62">
        <f>IF(ISNUMBER(VLOOKUP($AO62,OWData!$AI$4:$AL$94,2,FALSE)),AO62,AP63)</f>
        <v>1</v>
      </c>
    </row>
    <row r="63" spans="1:42" ht="12.75" hidden="1">
      <c r="A63" s="26"/>
      <c r="B63" s="26"/>
      <c r="C63" s="26"/>
      <c r="D63" s="26"/>
      <c r="E63" s="26"/>
      <c r="F63" s="26"/>
      <c r="G63" s="26"/>
      <c r="H63" s="26"/>
      <c r="I63" s="26"/>
      <c r="J63" s="26"/>
      <c r="K63" s="26"/>
      <c r="L63" s="26"/>
      <c r="AO63">
        <f t="shared" si="9"/>
        <v>0</v>
      </c>
      <c r="AP63">
        <f>IF(ISNUMBER(VLOOKUP($AO63,OWData!$AI$4:$AL$94,2,FALSE)),AO63,AP64)</f>
        <v>1</v>
      </c>
    </row>
    <row r="64" spans="1:42" ht="12.75" hidden="1">
      <c r="A64" s="26"/>
      <c r="B64" s="26"/>
      <c r="C64" s="26"/>
      <c r="D64" s="26"/>
      <c r="E64" s="26"/>
      <c r="F64" s="26"/>
      <c r="G64" s="26"/>
      <c r="H64" s="26"/>
      <c r="I64" s="26"/>
      <c r="J64" s="26"/>
      <c r="K64" s="26"/>
      <c r="L64" s="26"/>
      <c r="AO64">
        <f t="shared" si="9"/>
        <v>0</v>
      </c>
      <c r="AP64">
        <f>IF(ISNUMBER(VLOOKUP($AO64,OWData!$AI$4:$AL$94,2,FALSE)),AO64,AP65)</f>
        <v>1</v>
      </c>
    </row>
    <row r="65" spans="1:42" ht="12.75" hidden="1">
      <c r="A65" s="26"/>
      <c r="B65" s="26"/>
      <c r="C65" s="26"/>
      <c r="D65" s="26"/>
      <c r="E65" s="26"/>
      <c r="F65" s="26"/>
      <c r="G65" s="26"/>
      <c r="H65" s="26"/>
      <c r="I65" s="26"/>
      <c r="J65" s="26"/>
      <c r="K65" s="26"/>
      <c r="L65" s="26"/>
      <c r="AO65">
        <f t="shared" si="9"/>
        <v>0</v>
      </c>
      <c r="AP65">
        <f>IF(ISNUMBER(VLOOKUP($AO65,OWData!$AI$4:$AL$94,2,FALSE)),AO65,AP66)</f>
        <v>1</v>
      </c>
    </row>
    <row r="66" spans="1:42" ht="12.75" hidden="1">
      <c r="A66" s="26"/>
      <c r="B66" s="26"/>
      <c r="C66" s="26"/>
      <c r="D66" s="26"/>
      <c r="E66" s="26"/>
      <c r="F66" s="26"/>
      <c r="G66" s="26"/>
      <c r="H66" s="26"/>
      <c r="I66" s="26"/>
      <c r="J66" s="26"/>
      <c r="K66" s="26"/>
      <c r="L66" s="26"/>
      <c r="AO66">
        <f t="shared" si="9"/>
        <v>0</v>
      </c>
      <c r="AP66">
        <f>IF(ISNUMBER(VLOOKUP($AO66,OWData!$AI$4:$AL$94,2,FALSE)),AO66,AP67)</f>
        <v>1</v>
      </c>
    </row>
    <row r="67" spans="1:42" ht="12.75" hidden="1">
      <c r="A67" s="26"/>
      <c r="B67" s="26"/>
      <c r="C67" s="26"/>
      <c r="D67" s="26"/>
      <c r="E67" s="26"/>
      <c r="F67" s="26"/>
      <c r="G67" s="26"/>
      <c r="H67" s="26"/>
      <c r="I67" s="26"/>
      <c r="J67" s="26"/>
      <c r="K67" s="26"/>
      <c r="L67" s="26"/>
      <c r="AO67">
        <f t="shared" si="9"/>
        <v>0</v>
      </c>
      <c r="AP67">
        <f>IF(ISNUMBER(VLOOKUP($AO67,OWData!$AI$4:$AL$94,2,FALSE)),AO67,AP68)</f>
        <v>1</v>
      </c>
    </row>
    <row r="68" spans="1:42" ht="12.75" hidden="1">
      <c r="A68" s="26"/>
      <c r="B68" s="26"/>
      <c r="C68" s="26"/>
      <c r="D68" s="26"/>
      <c r="E68" s="26"/>
      <c r="F68" s="26"/>
      <c r="G68" s="26"/>
      <c r="H68" s="26"/>
      <c r="I68" s="26"/>
      <c r="J68" s="26"/>
      <c r="K68" s="26"/>
      <c r="L68" s="26"/>
      <c r="AO68">
        <f t="shared" si="9"/>
        <v>0</v>
      </c>
      <c r="AP68">
        <f>IF(ISNUMBER(VLOOKUP($AO68,OWData!$AI$4:$AL$94,2,FALSE)),AO68,AP69)</f>
        <v>1</v>
      </c>
    </row>
    <row r="69" spans="1:42" ht="12.75" hidden="1">
      <c r="A69" s="26"/>
      <c r="B69" s="26"/>
      <c r="C69" s="26"/>
      <c r="D69" s="26"/>
      <c r="E69" s="26"/>
      <c r="F69" s="26"/>
      <c r="G69" s="26"/>
      <c r="H69" s="26"/>
      <c r="I69" s="26"/>
      <c r="J69" s="26"/>
      <c r="K69" s="26"/>
      <c r="L69" s="26"/>
      <c r="AO69">
        <f t="shared" si="9"/>
        <v>0</v>
      </c>
      <c r="AP69">
        <f>IF(ISNUMBER(VLOOKUP($AO69,OWData!$AI$4:$AL$94,2,FALSE)),AO69,AP70)</f>
        <v>1</v>
      </c>
    </row>
    <row r="70" spans="1:42" ht="12.75" hidden="1">
      <c r="A70" s="26"/>
      <c r="B70" s="26"/>
      <c r="C70" s="26"/>
      <c r="D70" s="26"/>
      <c r="E70" s="26"/>
      <c r="F70" s="26"/>
      <c r="G70" s="26"/>
      <c r="H70" s="26"/>
      <c r="I70" s="26"/>
      <c r="J70" s="26"/>
      <c r="K70" s="26"/>
      <c r="L70" s="26"/>
      <c r="AO70">
        <f t="shared" si="9"/>
        <v>0</v>
      </c>
      <c r="AP70">
        <f>IF(ISNUMBER(VLOOKUP($AO70,OWData!$AI$4:$AL$94,2,FALSE)),AO70,AP71)</f>
        <v>1</v>
      </c>
    </row>
    <row r="71" spans="1:42" ht="12.75" hidden="1">
      <c r="A71" s="26"/>
      <c r="B71" s="26"/>
      <c r="C71" s="26"/>
      <c r="D71" s="26"/>
      <c r="E71" s="26"/>
      <c r="F71" s="26"/>
      <c r="G71" s="26"/>
      <c r="H71" s="26"/>
      <c r="I71" s="26"/>
      <c r="J71" s="26"/>
      <c r="K71" s="26"/>
      <c r="L71" s="26"/>
      <c r="AO71">
        <f t="shared" si="9"/>
        <v>0</v>
      </c>
      <c r="AP71">
        <f>IF(ISNUMBER(VLOOKUP($AO71,OWData!$AI$4:$AL$94,2,FALSE)),AO71,AP72)</f>
        <v>1</v>
      </c>
    </row>
    <row r="72" spans="1:42" ht="12.75" hidden="1">
      <c r="A72" s="26"/>
      <c r="B72" s="26"/>
      <c r="C72" s="26"/>
      <c r="D72" s="26"/>
      <c r="E72" s="26"/>
      <c r="F72" s="26"/>
      <c r="G72" s="26"/>
      <c r="H72" s="26"/>
      <c r="I72" s="26"/>
      <c r="J72" s="26"/>
      <c r="K72" s="26"/>
      <c r="L72" s="26"/>
      <c r="AO72">
        <f t="shared" si="9"/>
        <v>0</v>
      </c>
      <c r="AP72">
        <f>IF(ISNUMBER(VLOOKUP($AO72,OWData!$AI$4:$AL$94,2,FALSE)),AO72,AP73)</f>
        <v>1</v>
      </c>
    </row>
    <row r="73" spans="1:42" ht="12.75" hidden="1">
      <c r="A73" s="26"/>
      <c r="B73" s="26"/>
      <c r="C73" s="26"/>
      <c r="D73" s="26"/>
      <c r="E73" s="26"/>
      <c r="F73" s="26"/>
      <c r="G73" s="26"/>
      <c r="H73" s="26"/>
      <c r="I73" s="26"/>
      <c r="J73" s="26"/>
      <c r="K73" s="26"/>
      <c r="L73" s="26"/>
      <c r="AO73">
        <f t="shared" si="9"/>
        <v>0</v>
      </c>
      <c r="AP73">
        <f>IF(ISNUMBER(VLOOKUP($AO73,OWData!$AI$4:$AL$94,2,FALSE)),AO73,AP74)</f>
        <v>1</v>
      </c>
    </row>
    <row r="74" spans="1:42" ht="12.75" hidden="1">
      <c r="A74" s="26"/>
      <c r="B74" s="26"/>
      <c r="C74" s="26"/>
      <c r="D74" s="26"/>
      <c r="E74" s="26"/>
      <c r="F74" s="26"/>
      <c r="G74" s="26"/>
      <c r="H74" s="26"/>
      <c r="I74" s="26"/>
      <c r="J74" s="26"/>
      <c r="K74" s="26"/>
      <c r="L74" s="26"/>
      <c r="AO74">
        <f t="shared" si="9"/>
        <v>0</v>
      </c>
      <c r="AP74">
        <f>IF(ISNUMBER(VLOOKUP($AO74,OWData!$AI$4:$AL$94,2,FALSE)),AO74,AP75)</f>
        <v>1</v>
      </c>
    </row>
    <row r="75" spans="1:42" ht="12.75" hidden="1">
      <c r="A75" s="26"/>
      <c r="B75" s="26"/>
      <c r="C75" s="26"/>
      <c r="D75" s="26"/>
      <c r="E75" s="26"/>
      <c r="F75" s="26"/>
      <c r="G75" s="26"/>
      <c r="H75" s="26"/>
      <c r="I75" s="26"/>
      <c r="J75" s="26"/>
      <c r="K75" s="26"/>
      <c r="L75" s="26"/>
      <c r="AO75">
        <f t="shared" si="9"/>
        <v>0</v>
      </c>
      <c r="AP75">
        <f>IF(ISNUMBER(VLOOKUP($AO75,OWData!$AI$4:$AL$94,2,FALSE)),AO75,AP76)</f>
        <v>1</v>
      </c>
    </row>
    <row r="76" spans="1:42" ht="12.75" hidden="1">
      <c r="A76" s="26"/>
      <c r="B76" s="26"/>
      <c r="C76" s="26"/>
      <c r="D76" s="26"/>
      <c r="E76" s="26"/>
      <c r="F76" s="26"/>
      <c r="G76" s="26"/>
      <c r="H76" s="26"/>
      <c r="I76" s="26"/>
      <c r="J76" s="26"/>
      <c r="K76" s="26"/>
      <c r="L76" s="26"/>
      <c r="AO76">
        <f t="shared" si="9"/>
        <v>0</v>
      </c>
      <c r="AP76">
        <f>IF(ISNUMBER(VLOOKUP($AO76,OWData!$AI$4:$AL$94,2,FALSE)),AO76,AP77)</f>
        <v>1</v>
      </c>
    </row>
    <row r="77" spans="1:42" ht="12.75" hidden="1">
      <c r="A77" s="26"/>
      <c r="B77" s="26"/>
      <c r="C77" s="26"/>
      <c r="D77" s="26"/>
      <c r="E77" s="26"/>
      <c r="F77" s="26"/>
      <c r="G77" s="26"/>
      <c r="H77" s="26"/>
      <c r="I77" s="26"/>
      <c r="J77" s="26"/>
      <c r="K77" s="26"/>
      <c r="L77" s="26"/>
      <c r="AO77">
        <f t="shared" si="9"/>
        <v>0</v>
      </c>
      <c r="AP77">
        <f>IF(ISNUMBER(VLOOKUP($AO77,OWData!$AI$4:$AL$94,2,FALSE)),AO77,AP78)</f>
        <v>1</v>
      </c>
    </row>
    <row r="78" spans="1:42" ht="12.75" hidden="1">
      <c r="A78" s="26"/>
      <c r="B78" s="26"/>
      <c r="C78" s="26"/>
      <c r="D78" s="26"/>
      <c r="E78" s="26"/>
      <c r="F78" s="26"/>
      <c r="G78" s="26"/>
      <c r="H78" s="26"/>
      <c r="I78" s="26"/>
      <c r="J78" s="26"/>
      <c r="K78" s="26"/>
      <c r="L78" s="26"/>
      <c r="AO78">
        <f t="shared" si="9"/>
        <v>0</v>
      </c>
      <c r="AP78">
        <f>IF(ISNUMBER(VLOOKUP($AO78,OWData!$AI$4:$AL$94,2,FALSE)),AO78,AP79)</f>
        <v>1</v>
      </c>
    </row>
    <row r="79" spans="1:42" ht="12.75" hidden="1">
      <c r="A79" s="26"/>
      <c r="B79" s="26"/>
      <c r="C79" s="26"/>
      <c r="D79" s="26"/>
      <c r="E79" s="26"/>
      <c r="F79" s="26"/>
      <c r="G79" s="26"/>
      <c r="H79" s="26"/>
      <c r="I79" s="26"/>
      <c r="J79" s="26"/>
      <c r="K79" s="26"/>
      <c r="L79" s="26"/>
      <c r="AO79">
        <f t="shared" si="9"/>
        <v>0</v>
      </c>
      <c r="AP79">
        <f>IF(ISNUMBER(VLOOKUP($AO79,OWData!$AI$4:$AL$94,2,FALSE)),AO79,AP80)</f>
        <v>1</v>
      </c>
    </row>
    <row r="80" spans="1:42" ht="12.75" hidden="1">
      <c r="A80" s="26"/>
      <c r="B80" s="26"/>
      <c r="C80" s="26"/>
      <c r="D80" s="26"/>
      <c r="E80" s="26"/>
      <c r="F80" s="26"/>
      <c r="G80" s="26"/>
      <c r="H80" s="26"/>
      <c r="I80" s="26"/>
      <c r="J80" s="26"/>
      <c r="K80" s="26"/>
      <c r="L80" s="26"/>
      <c r="AO80">
        <f t="shared" si="9"/>
        <v>0</v>
      </c>
      <c r="AP80">
        <f>IF(ISNUMBER(VLOOKUP($AO80,OWData!$AI$4:$AL$94,2,FALSE)),AO80,AP81)</f>
        <v>1</v>
      </c>
    </row>
    <row r="81" spans="1:42" ht="12.75" hidden="1">
      <c r="A81" s="26"/>
      <c r="B81" s="26"/>
      <c r="C81" s="26"/>
      <c r="D81" s="26"/>
      <c r="E81" s="26"/>
      <c r="F81" s="26"/>
      <c r="G81" s="26"/>
      <c r="H81" s="26"/>
      <c r="I81" s="26"/>
      <c r="J81" s="26"/>
      <c r="K81" s="26"/>
      <c r="L81" s="26"/>
      <c r="AO81">
        <f t="shared" si="9"/>
        <v>0</v>
      </c>
      <c r="AP81">
        <f>IF(ISNUMBER(VLOOKUP($AO81,OWData!$AI$4:$AL$94,2,FALSE)),AO81,AP82)</f>
        <v>1</v>
      </c>
    </row>
    <row r="82" spans="1:42" ht="12.75" hidden="1">
      <c r="A82" s="26"/>
      <c r="B82" s="26"/>
      <c r="C82" s="26"/>
      <c r="D82" s="26"/>
      <c r="E82" s="26"/>
      <c r="F82" s="26"/>
      <c r="G82" s="26"/>
      <c r="H82" s="26"/>
      <c r="I82" s="26"/>
      <c r="J82" s="26"/>
      <c r="K82" s="26"/>
      <c r="L82" s="26"/>
      <c r="AO82">
        <f t="shared" si="9"/>
        <v>0</v>
      </c>
      <c r="AP82">
        <f>IF(ISNUMBER(VLOOKUP($AO82,OWData!$AI$4:$AL$94,2,FALSE)),AO82,AP83)</f>
        <v>1</v>
      </c>
    </row>
    <row r="83" spans="1:42" ht="12.75" hidden="1">
      <c r="A83" s="26"/>
      <c r="B83" s="26"/>
      <c r="C83" s="26"/>
      <c r="D83" s="26"/>
      <c r="E83" s="26"/>
      <c r="F83" s="26"/>
      <c r="G83" s="26"/>
      <c r="H83" s="26"/>
      <c r="I83" s="26"/>
      <c r="J83" s="26"/>
      <c r="K83" s="26"/>
      <c r="L83" s="26"/>
      <c r="AO83">
        <f t="shared" si="9"/>
        <v>0</v>
      </c>
      <c r="AP83">
        <f>IF(ISNUMBER(VLOOKUP($AO83,OWData!$AI$4:$AL$94,2,FALSE)),AO83,AP84)</f>
        <v>1</v>
      </c>
    </row>
    <row r="84" spans="1:42" ht="12.75" hidden="1">
      <c r="A84" s="26"/>
      <c r="B84" s="26"/>
      <c r="C84" s="26"/>
      <c r="D84" s="26"/>
      <c r="E84" s="26"/>
      <c r="F84" s="26"/>
      <c r="G84" s="26"/>
      <c r="H84" s="26"/>
      <c r="I84" s="26"/>
      <c r="J84" s="26"/>
      <c r="K84" s="26"/>
      <c r="L84" s="26"/>
      <c r="AO84">
        <f aca="true" t="shared" si="10" ref="AO84:AO99">MAX(0,AO83-1)</f>
        <v>0</v>
      </c>
      <c r="AP84">
        <f>IF(ISNUMBER(VLOOKUP($AO84,OWData!$AI$4:$AL$94,2,FALSE)),AO84,AP85)</f>
        <v>1</v>
      </c>
    </row>
    <row r="85" spans="1:42" ht="12.75" hidden="1">
      <c r="A85" s="26"/>
      <c r="B85" s="26"/>
      <c r="C85" s="26"/>
      <c r="D85" s="26"/>
      <c r="E85" s="26"/>
      <c r="F85" s="26"/>
      <c r="G85" s="26"/>
      <c r="H85" s="26"/>
      <c r="I85" s="26"/>
      <c r="J85" s="26"/>
      <c r="K85" s="26"/>
      <c r="L85" s="26"/>
      <c r="AO85">
        <f t="shared" si="10"/>
        <v>0</v>
      </c>
      <c r="AP85">
        <f>IF(ISNUMBER(VLOOKUP($AO85,OWData!$AI$4:$AL$94,2,FALSE)),AO85,AP86)</f>
        <v>1</v>
      </c>
    </row>
    <row r="86" spans="1:42" ht="12.75" hidden="1">
      <c r="A86" s="26"/>
      <c r="B86" s="26"/>
      <c r="C86" s="26"/>
      <c r="D86" s="26"/>
      <c r="E86" s="26"/>
      <c r="F86" s="26"/>
      <c r="G86" s="26"/>
      <c r="H86" s="26"/>
      <c r="I86" s="26"/>
      <c r="J86" s="26"/>
      <c r="K86" s="26"/>
      <c r="L86" s="26"/>
      <c r="AO86">
        <f t="shared" si="10"/>
        <v>0</v>
      </c>
      <c r="AP86">
        <f>IF(ISNUMBER(VLOOKUP($AO86,OWData!$AI$4:$AL$94,2,FALSE)),AO86,AP87)</f>
        <v>1</v>
      </c>
    </row>
    <row r="87" spans="1:42" ht="12.75" hidden="1">
      <c r="A87" s="26"/>
      <c r="B87" s="26"/>
      <c r="C87" s="26"/>
      <c r="D87" s="26"/>
      <c r="E87" s="26"/>
      <c r="F87" s="26"/>
      <c r="G87" s="26"/>
      <c r="H87" s="26"/>
      <c r="I87" s="26"/>
      <c r="J87" s="26"/>
      <c r="K87" s="26"/>
      <c r="L87" s="26"/>
      <c r="AO87">
        <f t="shared" si="10"/>
        <v>0</v>
      </c>
      <c r="AP87">
        <f>IF(ISNUMBER(VLOOKUP($AO87,OWData!$AI$4:$AL$94,2,FALSE)),AO87,AP88)</f>
        <v>1</v>
      </c>
    </row>
    <row r="88" spans="1:42" ht="12.75" hidden="1">
      <c r="A88" s="26"/>
      <c r="B88" s="26"/>
      <c r="C88" s="26"/>
      <c r="D88" s="26"/>
      <c r="E88" s="26"/>
      <c r="F88" s="26"/>
      <c r="G88" s="26"/>
      <c r="H88" s="26"/>
      <c r="I88" s="26"/>
      <c r="J88" s="26"/>
      <c r="K88" s="26"/>
      <c r="L88" s="26"/>
      <c r="AO88">
        <f t="shared" si="10"/>
        <v>0</v>
      </c>
      <c r="AP88">
        <f>IF(ISNUMBER(VLOOKUP($AO88,OWData!$AI$4:$AL$94,2,FALSE)),AO88,AP89)</f>
        <v>1</v>
      </c>
    </row>
    <row r="89" spans="1:42" ht="12.75" hidden="1">
      <c r="A89" s="26"/>
      <c r="B89" s="26"/>
      <c r="C89" s="26"/>
      <c r="D89" s="26"/>
      <c r="E89" s="26"/>
      <c r="F89" s="26"/>
      <c r="G89" s="26"/>
      <c r="H89" s="26"/>
      <c r="I89" s="26"/>
      <c r="J89" s="26"/>
      <c r="K89" s="26"/>
      <c r="L89" s="26"/>
      <c r="AO89">
        <f t="shared" si="10"/>
        <v>0</v>
      </c>
      <c r="AP89">
        <f>IF(ISNUMBER(VLOOKUP($AO89,OWData!$AI$4:$AL$94,2,FALSE)),AO89,AP90)</f>
        <v>1</v>
      </c>
    </row>
    <row r="90" spans="1:42" ht="12.75" hidden="1">
      <c r="A90" s="26"/>
      <c r="B90" s="26"/>
      <c r="C90" s="26"/>
      <c r="D90" s="26"/>
      <c r="E90" s="26"/>
      <c r="F90" s="26"/>
      <c r="G90" s="26"/>
      <c r="H90" s="26"/>
      <c r="I90" s="26"/>
      <c r="J90" s="26"/>
      <c r="K90" s="26"/>
      <c r="L90" s="26"/>
      <c r="AO90">
        <f t="shared" si="10"/>
        <v>0</v>
      </c>
      <c r="AP90">
        <f>IF(ISNUMBER(VLOOKUP($AO90,OWData!$AI$4:$AL$94,2,FALSE)),AO90,AP91)</f>
        <v>1</v>
      </c>
    </row>
    <row r="91" spans="1:42" ht="12.75" hidden="1">
      <c r="A91" s="26"/>
      <c r="B91" s="26"/>
      <c r="C91" s="26"/>
      <c r="D91" s="26"/>
      <c r="E91" s="26"/>
      <c r="F91" s="26"/>
      <c r="G91" s="26"/>
      <c r="H91" s="26"/>
      <c r="I91" s="26"/>
      <c r="J91" s="26"/>
      <c r="K91" s="26"/>
      <c r="L91" s="26"/>
      <c r="AO91">
        <f t="shared" si="10"/>
        <v>0</v>
      </c>
      <c r="AP91">
        <f>IF(ISNUMBER(VLOOKUP($AO91,OWData!$AI$4:$AL$94,2,FALSE)),AO91,AP92)</f>
        <v>1</v>
      </c>
    </row>
    <row r="92" spans="1:42" ht="12.75" hidden="1">
      <c r="A92" s="26"/>
      <c r="B92" s="26"/>
      <c r="C92" s="26"/>
      <c r="D92" s="26"/>
      <c r="E92" s="26"/>
      <c r="F92" s="26"/>
      <c r="G92" s="26"/>
      <c r="H92" s="26"/>
      <c r="I92" s="26"/>
      <c r="J92" s="26"/>
      <c r="K92" s="26"/>
      <c r="L92" s="26"/>
      <c r="AO92">
        <f t="shared" si="10"/>
        <v>0</v>
      </c>
      <c r="AP92">
        <f>IF(ISNUMBER(VLOOKUP($AO92,OWData!$AI$4:$AL$94,2,FALSE)),AO92,AP93)</f>
        <v>1</v>
      </c>
    </row>
    <row r="93" spans="1:42" ht="12.75" hidden="1">
      <c r="A93" s="26"/>
      <c r="B93" s="26"/>
      <c r="C93" s="26"/>
      <c r="D93" s="26"/>
      <c r="E93" s="26"/>
      <c r="F93" s="26"/>
      <c r="G93" s="26"/>
      <c r="H93" s="26"/>
      <c r="I93" s="26"/>
      <c r="J93" s="26"/>
      <c r="K93" s="26"/>
      <c r="L93" s="26"/>
      <c r="AO93">
        <f t="shared" si="10"/>
        <v>0</v>
      </c>
      <c r="AP93">
        <f>IF(ISNUMBER(VLOOKUP($AO93,OWData!$AI$4:$AL$94,2,FALSE)),AO93,AP94)</f>
        <v>1</v>
      </c>
    </row>
    <row r="94" spans="1:42" ht="12.75" hidden="1">
      <c r="A94" s="26"/>
      <c r="B94" s="26"/>
      <c r="C94" s="26"/>
      <c r="D94" s="26"/>
      <c r="E94" s="26"/>
      <c r="F94" s="26"/>
      <c r="G94" s="26"/>
      <c r="H94" s="26"/>
      <c r="I94" s="26"/>
      <c r="J94" s="26"/>
      <c r="K94" s="26"/>
      <c r="L94" s="26"/>
      <c r="AO94">
        <f t="shared" si="10"/>
        <v>0</v>
      </c>
      <c r="AP94">
        <f>IF(ISNUMBER(VLOOKUP($AO94,OWData!$AI$4:$AL$94,2,FALSE)),AO94,AP95)</f>
        <v>1</v>
      </c>
    </row>
    <row r="95" spans="1:42" ht="12.75" hidden="1">
      <c r="A95" s="26"/>
      <c r="B95" s="26"/>
      <c r="C95" s="26"/>
      <c r="D95" s="26"/>
      <c r="E95" s="26"/>
      <c r="F95" s="26"/>
      <c r="G95" s="26"/>
      <c r="H95" s="26"/>
      <c r="I95" s="26"/>
      <c r="J95" s="26"/>
      <c r="K95" s="26"/>
      <c r="L95" s="26"/>
      <c r="AO95">
        <f t="shared" si="10"/>
        <v>0</v>
      </c>
      <c r="AP95">
        <f>IF(ISNUMBER(VLOOKUP($AO95,OWData!$AI$4:$AL$94,2,FALSE)),AO95,AP96)</f>
        <v>1</v>
      </c>
    </row>
    <row r="96" spans="1:42" ht="12.75" hidden="1">
      <c r="A96" s="26"/>
      <c r="B96" s="26"/>
      <c r="C96" s="26"/>
      <c r="D96" s="26"/>
      <c r="E96" s="26"/>
      <c r="F96" s="26"/>
      <c r="G96" s="26"/>
      <c r="H96" s="26"/>
      <c r="I96" s="26"/>
      <c r="J96" s="26"/>
      <c r="K96" s="26"/>
      <c r="L96" s="26"/>
      <c r="AO96">
        <f t="shared" si="10"/>
        <v>0</v>
      </c>
      <c r="AP96">
        <f>IF(ISNUMBER(VLOOKUP($AO96,OWData!$AI$4:$AL$94,2,FALSE)),AO96,AP97)</f>
        <v>1</v>
      </c>
    </row>
    <row r="97" spans="1:42" ht="12.75" hidden="1">
      <c r="A97" s="26"/>
      <c r="B97" s="26"/>
      <c r="C97" s="26"/>
      <c r="D97" s="26"/>
      <c r="E97" s="26"/>
      <c r="F97" s="26"/>
      <c r="G97" s="26"/>
      <c r="H97" s="26"/>
      <c r="I97" s="26"/>
      <c r="J97" s="26"/>
      <c r="K97" s="26"/>
      <c r="L97" s="26"/>
      <c r="AO97">
        <f t="shared" si="10"/>
        <v>0</v>
      </c>
      <c r="AP97">
        <f>IF(ISNUMBER(VLOOKUP($AO97,OWData!$AI$4:$AL$94,2,FALSE)),AO97,AP98)</f>
        <v>1</v>
      </c>
    </row>
    <row r="98" spans="1:42" ht="12.75" hidden="1">
      <c r="A98" s="26"/>
      <c r="B98" s="26"/>
      <c r="C98" s="26"/>
      <c r="D98" s="26"/>
      <c r="E98" s="26"/>
      <c r="F98" s="26"/>
      <c r="G98" s="26"/>
      <c r="H98" s="26"/>
      <c r="I98" s="26"/>
      <c r="J98" s="26"/>
      <c r="K98" s="26"/>
      <c r="L98" s="26"/>
      <c r="AO98">
        <f t="shared" si="10"/>
        <v>0</v>
      </c>
      <c r="AP98">
        <f>IF(ISNUMBER(VLOOKUP($AO98,OWData!$AI$4:$AL$94,2,FALSE)),AO98,AP99)</f>
        <v>1</v>
      </c>
    </row>
    <row r="99" spans="1:42" ht="12.75" hidden="1">
      <c r="A99" s="26"/>
      <c r="B99" s="26"/>
      <c r="C99" s="26"/>
      <c r="D99" s="26"/>
      <c r="E99" s="26"/>
      <c r="F99" s="26"/>
      <c r="G99" s="26"/>
      <c r="H99" s="26"/>
      <c r="I99" s="26"/>
      <c r="J99" s="26"/>
      <c r="K99" s="26"/>
      <c r="L99" s="26"/>
      <c r="AO99">
        <f t="shared" si="10"/>
        <v>0</v>
      </c>
      <c r="AP99">
        <v>1</v>
      </c>
    </row>
    <row r="100" spans="1:12" ht="12.75" hidden="1">
      <c r="A100" s="26"/>
      <c r="B100" s="26"/>
      <c r="C100" s="26"/>
      <c r="D100" s="26"/>
      <c r="E100" s="26"/>
      <c r="F100" s="26"/>
      <c r="G100" s="26"/>
      <c r="H100" s="26"/>
      <c r="I100" s="26"/>
      <c r="J100" s="26"/>
      <c r="K100" s="26"/>
      <c r="L100" s="26"/>
    </row>
    <row r="101" spans="1:12" ht="12.75" hidden="1">
      <c r="A101" s="26"/>
      <c r="B101" s="26"/>
      <c r="C101" s="26"/>
      <c r="D101" s="26"/>
      <c r="E101" s="26"/>
      <c r="F101" s="26"/>
      <c r="G101" s="26"/>
      <c r="H101" s="26"/>
      <c r="I101" s="26"/>
      <c r="J101" s="26"/>
      <c r="K101" s="26"/>
      <c r="L101" s="26"/>
    </row>
    <row r="102" spans="1:12" ht="12.75" hidden="1">
      <c r="A102" s="26"/>
      <c r="B102" s="26"/>
      <c r="C102" s="26"/>
      <c r="D102" s="26"/>
      <c r="E102" s="26"/>
      <c r="F102" s="26"/>
      <c r="G102" s="26"/>
      <c r="H102" s="26"/>
      <c r="I102" s="26"/>
      <c r="J102" s="26"/>
      <c r="K102" s="26"/>
      <c r="L102" s="26"/>
    </row>
    <row r="103" spans="2:12" ht="12.75" hidden="1">
      <c r="B103" s="26"/>
      <c r="C103" s="26"/>
      <c r="D103" s="26"/>
      <c r="E103" s="26"/>
      <c r="F103" s="26"/>
      <c r="G103" s="26"/>
      <c r="H103" s="26"/>
      <c r="I103" s="26"/>
      <c r="J103" s="26"/>
      <c r="K103" s="26"/>
      <c r="L103" s="26"/>
    </row>
    <row r="104" spans="2:12" ht="12.75" hidden="1">
      <c r="B104" s="26"/>
      <c r="C104" s="26"/>
      <c r="D104" s="26"/>
      <c r="E104" s="26"/>
      <c r="F104" s="26"/>
      <c r="G104" s="26"/>
      <c r="H104" s="26"/>
      <c r="I104" s="26"/>
      <c r="J104" s="26"/>
      <c r="K104" s="26"/>
      <c r="L104" s="26"/>
    </row>
    <row r="105" spans="2:12" ht="12.75" hidden="1">
      <c r="B105" s="26"/>
      <c r="C105" s="26"/>
      <c r="D105" s="26"/>
      <c r="E105" s="26"/>
      <c r="F105" s="26"/>
      <c r="G105" s="26"/>
      <c r="H105" s="26"/>
      <c r="I105" s="26"/>
      <c r="J105" s="26"/>
      <c r="K105" s="26"/>
      <c r="L105" s="26"/>
    </row>
    <row r="106" spans="2:12" ht="12.75" hidden="1">
      <c r="B106" s="26"/>
      <c r="C106" s="26"/>
      <c r="D106" s="26"/>
      <c r="E106" s="26"/>
      <c r="F106" s="26"/>
      <c r="G106" s="26"/>
      <c r="H106" s="26"/>
      <c r="I106" s="26"/>
      <c r="J106" s="26"/>
      <c r="K106" s="26"/>
      <c r="L106" s="26"/>
    </row>
    <row r="107" spans="2:11" ht="12.75" hidden="1">
      <c r="B107" s="26"/>
      <c r="C107" s="26"/>
      <c r="D107" s="26"/>
      <c r="E107" s="26"/>
      <c r="F107" s="26"/>
      <c r="G107" s="26"/>
      <c r="H107" s="26"/>
      <c r="I107" s="26"/>
      <c r="J107" s="26"/>
      <c r="K107" s="26"/>
    </row>
  </sheetData>
  <dataValidations count="5">
    <dataValidation type="list" allowBlank="1" showInputMessage="1" showErrorMessage="1" sqref="C3">
      <formula1>$AS$2:$AS$4</formula1>
    </dataValidation>
    <dataValidation type="whole" allowBlank="1" showInputMessage="1" showErrorMessage="1" sqref="C6">
      <formula1>3</formula1>
      <formula2>6</formula2>
    </dataValidation>
    <dataValidation type="list" allowBlank="1" showInputMessage="1" showErrorMessage="1" sqref="C4">
      <formula1>$AW$2:$AW$4</formula1>
    </dataValidation>
    <dataValidation type="list" allowBlank="1" showInputMessage="1" showErrorMessage="1" sqref="C5">
      <formula1>$AU$8:$AU$92</formula1>
    </dataValidation>
    <dataValidation type="list" allowBlank="1" showInputMessage="1" showErrorMessage="1" sqref="C2">
      <formula1>$AR$2:$AR$56</formula1>
    </dataValidation>
  </dataValidations>
  <printOptions/>
  <pageMargins left="0.75" right="0.75" top="1" bottom="1" header="0.5" footer="0.5"/>
  <pageSetup horizontalDpi="600" verticalDpi="600" orientation="portrait"/>
  <legacyDrawing r:id="rId2"/>
</worksheet>
</file>

<file path=xl/worksheets/sheet6.xml><?xml version="1.0" encoding="utf-8"?>
<worksheet xmlns="http://schemas.openxmlformats.org/spreadsheetml/2006/main" xmlns:r="http://schemas.openxmlformats.org/officeDocument/2006/relationships">
  <sheetPr codeName="Sheet6"/>
  <dimension ref="A4:Z1111"/>
  <sheetViews>
    <sheetView workbookViewId="0" topLeftCell="A1">
      <selection activeCell="A35" sqref="A35"/>
    </sheetView>
  </sheetViews>
  <sheetFormatPr defaultColWidth="9.140625" defaultRowHeight="12.75"/>
  <cols>
    <col min="1" max="8" width="8.8515625" style="0" customWidth="1"/>
    <col min="9" max="9" width="26.7109375" style="0" bestFit="1" customWidth="1"/>
    <col min="10" max="10" width="13.421875" style="0" bestFit="1" customWidth="1"/>
    <col min="11" max="11" width="11.8515625" style="0" bestFit="1" customWidth="1"/>
    <col min="12" max="12" width="11.28125" style="0" bestFit="1" customWidth="1"/>
    <col min="13" max="16384" width="8.8515625" style="0" customWidth="1"/>
  </cols>
  <sheetData>
    <row r="4" spans="9:13" ht="12.75">
      <c r="I4" t="s">
        <v>2</v>
      </c>
      <c r="J4" t="s">
        <v>3</v>
      </c>
      <c r="K4" s="52">
        <v>38398</v>
      </c>
      <c r="L4" t="s">
        <v>4</v>
      </c>
      <c r="M4" t="s">
        <v>5</v>
      </c>
    </row>
    <row r="5" spans="9:10" ht="12.75">
      <c r="I5" t="s">
        <v>6</v>
      </c>
      <c r="J5" t="s">
        <v>7</v>
      </c>
    </row>
    <row r="6" spans="9:12" ht="12.75">
      <c r="I6" t="s">
        <v>8</v>
      </c>
      <c r="J6" t="s">
        <v>9</v>
      </c>
      <c r="L6" t="s">
        <v>7</v>
      </c>
    </row>
    <row r="7" spans="9:12" ht="12.75">
      <c r="I7" t="s">
        <v>10</v>
      </c>
      <c r="J7" t="s">
        <v>11</v>
      </c>
      <c r="L7" t="s">
        <v>12</v>
      </c>
    </row>
    <row r="8" spans="9:10" ht="12.75">
      <c r="I8" t="s">
        <v>13</v>
      </c>
      <c r="J8" t="s">
        <v>2</v>
      </c>
    </row>
    <row r="9" spans="5:12" ht="12.75">
      <c r="E9" t="s">
        <v>1164</v>
      </c>
      <c r="F9" t="s">
        <v>1205</v>
      </c>
      <c r="G9" t="s">
        <v>1163</v>
      </c>
      <c r="I9" t="s">
        <v>14</v>
      </c>
      <c r="J9" t="s">
        <v>15</v>
      </c>
      <c r="K9" t="s">
        <v>1205</v>
      </c>
      <c r="L9" t="s">
        <v>15</v>
      </c>
    </row>
    <row r="10" spans="1:10" ht="12.75">
      <c r="A10" t="str">
        <f>IF(J10="BASIS",I10,"")</f>
        <v>LKR</v>
      </c>
      <c r="B10" t="str">
        <f>IF(A10&lt;&gt;"",LEFT(I6,3),"")</f>
        <v>CMB</v>
      </c>
      <c r="C10" t="s">
        <v>1402</v>
      </c>
      <c r="D10">
        <v>1</v>
      </c>
      <c r="E10" t="str">
        <f ca="1">VLOOKUP(E$9&amp;"RWSTAR"&amp;$D10,OFFSET($K10,0,0,MATCH(1,D13:D58,0),2),2,FALSE)</f>
        <v>260300R</v>
      </c>
      <c r="F10" t="str">
        <f ca="1">VLOOKUP(F$9&amp;"RWSTAR"&amp;$D10,OFFSET($K10,0,0,MATCH(1,D13:D58,0),2),2,FALSE)</f>
        <v>516700R</v>
      </c>
      <c r="G10" t="str">
        <f ca="1">VLOOKUP(G$9&amp;"RWSTAR"&amp;$D10,OFFSET($K10,0,0,MATCH(1,D13:D58,0),2),2,FALSE)</f>
        <v>882700R</v>
      </c>
      <c r="I10" t="s">
        <v>1278</v>
      </c>
      <c r="J10" t="s">
        <v>16</v>
      </c>
    </row>
    <row r="11" spans="1:20" ht="12.75">
      <c r="A11">
        <f aca="true" t="shared" si="0" ref="A11:A74">IF(J11="BASIS",I11,"")</f>
      </c>
      <c r="B11">
        <f aca="true" t="shared" si="1" ref="B11:B74">IF(A11&lt;&gt;"",LEFT(I7,3),"")</f>
      </c>
      <c r="D11">
        <v>2</v>
      </c>
      <c r="E11" t="str">
        <f ca="1">VLOOKUP(E$9&amp;"RWSTAR"&amp;$D11,OFFSET($K11,0,0,MATCH(1,D13:D58,0),2),2,FALSE)</f>
        <v>299200R</v>
      </c>
      <c r="F11" t="str">
        <f ca="1">VLOOKUP(F$9&amp;"RWSTAR"&amp;$D11,OFFSET($K11,0,0,MATCH(1,D13:D58,0),2),2,FALSE)</f>
        <v>594900R</v>
      </c>
      <c r="G11" t="str">
        <f ca="1">VLOOKUP(G$9&amp;"RWSTAR"&amp;$D11,OFFSET($K11,0,0,MATCH(1,D13:D58,0),2),2,FALSE)</f>
        <v>1015300R</v>
      </c>
      <c r="I11" t="s">
        <v>29</v>
      </c>
      <c r="J11" t="s">
        <v>7</v>
      </c>
      <c r="K11" t="s">
        <v>1214</v>
      </c>
      <c r="L11" t="s">
        <v>1105</v>
      </c>
      <c r="M11" t="s">
        <v>327</v>
      </c>
      <c r="Q11" t="s">
        <v>17</v>
      </c>
      <c r="R11" t="s">
        <v>7</v>
      </c>
      <c r="S11" t="s">
        <v>19</v>
      </c>
      <c r="T11" t="s">
        <v>18</v>
      </c>
    </row>
    <row r="12" spans="1:20" ht="12.75">
      <c r="A12">
        <f t="shared" si="0"/>
      </c>
      <c r="B12">
        <f t="shared" si="1"/>
      </c>
      <c r="D12">
        <v>3</v>
      </c>
      <c r="E12" t="str">
        <f ca="1">VLOOKUP(E$9&amp;"RWSTAR"&amp;$D12,OFFSET($K12,0,0,MATCH(1,D13:D58,0),2),2,FALSE)</f>
        <v>351300R</v>
      </c>
      <c r="F12" t="str">
        <f ca="1">VLOOKUP(F$9&amp;"RWSTAR"&amp;$D12,OFFSET($K12,0,0,MATCH(1,D13:D58,0),2),2,FALSE)</f>
        <v>687800R</v>
      </c>
      <c r="G12" t="str">
        <f ca="1">VLOOKUP(G$9&amp;"RWSTAR"&amp;$D12,OFFSET($K12,0,0,MATCH(1,D13:D58,0),2),2,FALSE)</f>
        <v>1191600R</v>
      </c>
      <c r="I12" t="s">
        <v>35</v>
      </c>
      <c r="J12" t="s">
        <v>7</v>
      </c>
      <c r="K12" t="s">
        <v>1215</v>
      </c>
      <c r="L12" t="s">
        <v>1106</v>
      </c>
      <c r="M12" t="s">
        <v>327</v>
      </c>
      <c r="Q12" t="s">
        <v>21</v>
      </c>
      <c r="R12" t="s">
        <v>7</v>
      </c>
      <c r="S12" t="s">
        <v>1214</v>
      </c>
      <c r="T12" t="s">
        <v>22</v>
      </c>
    </row>
    <row r="13" spans="1:20" ht="12.75">
      <c r="A13">
        <f t="shared" si="0"/>
      </c>
      <c r="B13">
        <f t="shared" si="1"/>
      </c>
      <c r="I13" t="s">
        <v>58</v>
      </c>
      <c r="J13" t="s">
        <v>7</v>
      </c>
      <c r="K13" t="s">
        <v>1216</v>
      </c>
      <c r="L13" t="s">
        <v>1107</v>
      </c>
      <c r="M13" t="s">
        <v>327</v>
      </c>
      <c r="Q13" t="s">
        <v>23</v>
      </c>
      <c r="R13" t="s">
        <v>7</v>
      </c>
      <c r="S13" t="s">
        <v>1215</v>
      </c>
      <c r="T13" t="s">
        <v>24</v>
      </c>
    </row>
    <row r="14" spans="1:20" ht="12.75">
      <c r="A14">
        <f t="shared" si="0"/>
      </c>
      <c r="B14">
        <f t="shared" si="1"/>
      </c>
      <c r="E14" t="str">
        <f aca="true" t="shared" si="2" ref="E14:G16">(LEFT(E10,LEN(E10)-1))</f>
        <v>260300</v>
      </c>
      <c r="F14" t="str">
        <f t="shared" si="2"/>
        <v>516700</v>
      </c>
      <c r="G14" t="str">
        <f t="shared" si="2"/>
        <v>882700</v>
      </c>
      <c r="I14" t="s">
        <v>61</v>
      </c>
      <c r="J14" t="s">
        <v>7</v>
      </c>
      <c r="K14" t="s">
        <v>1211</v>
      </c>
      <c r="L14" t="s">
        <v>1108</v>
      </c>
      <c r="M14" t="s">
        <v>1368</v>
      </c>
      <c r="Q14" t="s">
        <v>25</v>
      </c>
      <c r="R14" t="s">
        <v>7</v>
      </c>
      <c r="S14" t="s">
        <v>1216</v>
      </c>
      <c r="T14" t="s">
        <v>26</v>
      </c>
    </row>
    <row r="15" spans="1:20" ht="12.75">
      <c r="A15">
        <f t="shared" si="0"/>
      </c>
      <c r="B15">
        <f t="shared" si="1"/>
      </c>
      <c r="E15" t="str">
        <f t="shared" si="2"/>
        <v>299200</v>
      </c>
      <c r="F15" t="str">
        <f t="shared" si="2"/>
        <v>594900</v>
      </c>
      <c r="G15" t="str">
        <f t="shared" si="2"/>
        <v>1015300</v>
      </c>
      <c r="I15" t="s">
        <v>1689</v>
      </c>
      <c r="J15" t="s">
        <v>7</v>
      </c>
      <c r="K15" t="s">
        <v>1212</v>
      </c>
      <c r="L15" t="s">
        <v>1109</v>
      </c>
      <c r="M15" t="s">
        <v>1368</v>
      </c>
      <c r="Q15" t="s">
        <v>27</v>
      </c>
      <c r="R15" t="s">
        <v>7</v>
      </c>
      <c r="S15" t="s">
        <v>1211</v>
      </c>
      <c r="T15" t="s">
        <v>28</v>
      </c>
    </row>
    <row r="16" spans="1:20" ht="12.75">
      <c r="A16">
        <f t="shared" si="0"/>
      </c>
      <c r="B16">
        <f t="shared" si="1"/>
      </c>
      <c r="E16" t="str">
        <f t="shared" si="2"/>
        <v>351300</v>
      </c>
      <c r="F16" t="str">
        <f t="shared" si="2"/>
        <v>687800</v>
      </c>
      <c r="G16" t="str">
        <f t="shared" si="2"/>
        <v>1191600</v>
      </c>
      <c r="I16" t="s">
        <v>1692</v>
      </c>
      <c r="J16" t="s">
        <v>7</v>
      </c>
      <c r="K16" t="s">
        <v>1213</v>
      </c>
      <c r="L16" t="s">
        <v>1110</v>
      </c>
      <c r="M16" t="s">
        <v>1368</v>
      </c>
      <c r="Q16" t="s">
        <v>29</v>
      </c>
      <c r="R16" t="s">
        <v>7</v>
      </c>
      <c r="S16" t="s">
        <v>1212</v>
      </c>
      <c r="T16" t="s">
        <v>30</v>
      </c>
    </row>
    <row r="17" spans="1:20" ht="12.75">
      <c r="A17">
        <f t="shared" si="0"/>
      </c>
      <c r="B17">
        <f t="shared" si="1"/>
      </c>
      <c r="I17" t="s">
        <v>1695</v>
      </c>
      <c r="J17" t="s">
        <v>7</v>
      </c>
      <c r="K17" t="s">
        <v>1208</v>
      </c>
      <c r="L17" t="s">
        <v>1111</v>
      </c>
      <c r="M17" t="s">
        <v>1367</v>
      </c>
      <c r="Q17" t="s">
        <v>31</v>
      </c>
      <c r="R17" t="s">
        <v>7</v>
      </c>
      <c r="S17" t="s">
        <v>1213</v>
      </c>
      <c r="T17" t="s">
        <v>32</v>
      </c>
    </row>
    <row r="18" spans="1:20" ht="12.75">
      <c r="A18">
        <f t="shared" si="0"/>
      </c>
      <c r="B18">
        <f t="shared" si="1"/>
      </c>
      <c r="I18" t="s">
        <v>1502</v>
      </c>
      <c r="J18" t="s">
        <v>7</v>
      </c>
      <c r="K18" t="s">
        <v>1209</v>
      </c>
      <c r="L18" t="s">
        <v>1112</v>
      </c>
      <c r="M18" t="s">
        <v>1367</v>
      </c>
      <c r="Q18" t="s">
        <v>33</v>
      </c>
      <c r="R18" t="s">
        <v>7</v>
      </c>
      <c r="S18" t="s">
        <v>1208</v>
      </c>
      <c r="T18" t="s">
        <v>34</v>
      </c>
    </row>
    <row r="19" spans="1:20" ht="12.75">
      <c r="A19">
        <f t="shared" si="0"/>
      </c>
      <c r="B19">
        <f t="shared" si="1"/>
      </c>
      <c r="I19" t="s">
        <v>331</v>
      </c>
      <c r="J19" t="s">
        <v>7</v>
      </c>
      <c r="K19" t="s">
        <v>1210</v>
      </c>
      <c r="L19" t="s">
        <v>1113</v>
      </c>
      <c r="M19" t="s">
        <v>1367</v>
      </c>
      <c r="Q19" t="s">
        <v>35</v>
      </c>
      <c r="R19" t="s">
        <v>7</v>
      </c>
      <c r="S19" t="s">
        <v>1209</v>
      </c>
      <c r="T19" t="s">
        <v>36</v>
      </c>
    </row>
    <row r="20" spans="1:20" ht="12.75">
      <c r="A20">
        <f t="shared" si="0"/>
      </c>
      <c r="B20">
        <f t="shared" si="1"/>
      </c>
      <c r="I20" t="s">
        <v>37</v>
      </c>
      <c r="Q20" t="s">
        <v>37</v>
      </c>
      <c r="R20" t="s">
        <v>7</v>
      </c>
      <c r="S20" t="s">
        <v>1210</v>
      </c>
      <c r="T20" t="s">
        <v>38</v>
      </c>
    </row>
    <row r="21" spans="1:2" ht="12.75">
      <c r="A21">
        <f t="shared" si="0"/>
      </c>
      <c r="B21">
        <f t="shared" si="1"/>
      </c>
    </row>
    <row r="22" spans="1:13" ht="12.75">
      <c r="A22">
        <f t="shared" si="0"/>
      </c>
      <c r="B22">
        <f t="shared" si="1"/>
      </c>
      <c r="I22" t="s">
        <v>17</v>
      </c>
      <c r="J22" t="s">
        <v>7</v>
      </c>
      <c r="K22" t="s">
        <v>19</v>
      </c>
      <c r="L22" t="s">
        <v>18</v>
      </c>
      <c r="M22" t="s">
        <v>39</v>
      </c>
    </row>
    <row r="23" spans="1:2" ht="12.75">
      <c r="A23">
        <f t="shared" si="0"/>
      </c>
      <c r="B23">
        <f t="shared" si="1"/>
      </c>
    </row>
    <row r="24" spans="1:10" ht="12.75">
      <c r="A24">
        <f t="shared" si="0"/>
      </c>
      <c r="B24">
        <f t="shared" si="1"/>
      </c>
      <c r="I24" t="s">
        <v>40</v>
      </c>
      <c r="J24" t="s">
        <v>346</v>
      </c>
    </row>
    <row r="25" spans="1:14" ht="12.75">
      <c r="A25">
        <f t="shared" si="0"/>
      </c>
      <c r="B25">
        <f t="shared" si="1"/>
      </c>
      <c r="I25" t="s">
        <v>41</v>
      </c>
      <c r="J25" t="s">
        <v>42</v>
      </c>
      <c r="K25" t="s">
        <v>44</v>
      </c>
      <c r="L25" t="s">
        <v>43</v>
      </c>
      <c r="M25">
        <v>0.0100705</v>
      </c>
      <c r="N25" t="s">
        <v>1251</v>
      </c>
    </row>
    <row r="26" spans="1:13" ht="12.75">
      <c r="A26">
        <f t="shared" si="0"/>
      </c>
      <c r="B26">
        <f t="shared" si="1"/>
      </c>
      <c r="I26" t="s">
        <v>17</v>
      </c>
      <c r="J26" t="s">
        <v>7</v>
      </c>
      <c r="K26" t="s">
        <v>19</v>
      </c>
      <c r="L26" t="s">
        <v>18</v>
      </c>
      <c r="M26" t="s">
        <v>39</v>
      </c>
    </row>
    <row r="27" spans="1:2" ht="12.75">
      <c r="A27">
        <f t="shared" si="0"/>
      </c>
      <c r="B27">
        <f t="shared" si="1"/>
      </c>
    </row>
    <row r="28" spans="1:10" ht="12.75">
      <c r="A28">
        <f t="shared" si="0"/>
      </c>
      <c r="B28">
        <f t="shared" si="1"/>
      </c>
      <c r="I28" t="s">
        <v>40</v>
      </c>
      <c r="J28" t="s">
        <v>347</v>
      </c>
    </row>
    <row r="29" spans="1:14" ht="12.75">
      <c r="A29">
        <f t="shared" si="0"/>
      </c>
      <c r="B29">
        <f t="shared" si="1"/>
      </c>
      <c r="I29" t="s">
        <v>41</v>
      </c>
      <c r="J29" t="s">
        <v>42</v>
      </c>
      <c r="K29" t="s">
        <v>44</v>
      </c>
      <c r="L29" t="s">
        <v>43</v>
      </c>
      <c r="M29">
        <v>78871</v>
      </c>
      <c r="N29" t="s">
        <v>1308</v>
      </c>
    </row>
    <row r="30" spans="1:13" ht="12.75">
      <c r="A30">
        <f t="shared" si="0"/>
      </c>
      <c r="B30">
        <f t="shared" si="1"/>
      </c>
      <c r="I30" t="s">
        <v>45</v>
      </c>
      <c r="J30" t="s">
        <v>46</v>
      </c>
      <c r="K30" t="s">
        <v>48</v>
      </c>
      <c r="L30" t="s">
        <v>47</v>
      </c>
      <c r="M30" t="s">
        <v>49</v>
      </c>
    </row>
    <row r="31" spans="1:12" ht="12.75">
      <c r="A31">
        <f t="shared" si="0"/>
      </c>
      <c r="B31">
        <f t="shared" si="1"/>
      </c>
      <c r="I31" t="s">
        <v>50</v>
      </c>
      <c r="J31" t="s">
        <v>9</v>
      </c>
      <c r="L31" t="s">
        <v>46</v>
      </c>
    </row>
    <row r="32" spans="1:12" ht="12.75">
      <c r="A32">
        <f t="shared" si="0"/>
      </c>
      <c r="B32">
        <f t="shared" si="1"/>
      </c>
      <c r="I32" t="s">
        <v>10</v>
      </c>
      <c r="J32" t="s">
        <v>11</v>
      </c>
      <c r="L32" t="s">
        <v>12</v>
      </c>
    </row>
    <row r="33" spans="1:10" ht="12.75">
      <c r="A33">
        <f t="shared" si="0"/>
      </c>
      <c r="B33">
        <f t="shared" si="1"/>
      </c>
      <c r="I33" t="s">
        <v>13</v>
      </c>
      <c r="J33" t="s">
        <v>2</v>
      </c>
    </row>
    <row r="34" spans="1:12" ht="12.75">
      <c r="A34">
        <f t="shared" si="0"/>
      </c>
      <c r="B34">
        <f t="shared" si="1"/>
      </c>
      <c r="E34" t="s">
        <v>1164</v>
      </c>
      <c r="F34" t="s">
        <v>1205</v>
      </c>
      <c r="G34" t="s">
        <v>1163</v>
      </c>
      <c r="I34" t="s">
        <v>14</v>
      </c>
      <c r="J34" t="s">
        <v>15</v>
      </c>
      <c r="K34" t="s">
        <v>1205</v>
      </c>
      <c r="L34" t="s">
        <v>15</v>
      </c>
    </row>
    <row r="35" spans="1:10" ht="12.75">
      <c r="A35" t="str">
        <f t="shared" si="0"/>
        <v>FJD</v>
      </c>
      <c r="B35" t="str">
        <f t="shared" si="1"/>
        <v>NAN</v>
      </c>
      <c r="C35" t="s">
        <v>1179</v>
      </c>
      <c r="D35">
        <v>1</v>
      </c>
      <c r="E35" t="str">
        <f ca="1">VLOOKUP(E$9&amp;"RWSTAR"&amp;$D35,OFFSET($K35,0,0,MATCH(1,D38:D83,0),2),2,FALSE)</f>
        <v>3799R</v>
      </c>
      <c r="F35" t="str">
        <f ca="1">VLOOKUP(F$9&amp;"RWSTAR"&amp;$D35,OFFSET($K35,0,0,MATCH(1,D38:D83,0),2),2,FALSE)</f>
        <v>8950R</v>
      </c>
      <c r="G35" t="str">
        <f ca="1">VLOOKUP(G$9&amp;"RWSTAR"&amp;$D35,OFFSET($K35,0,0,MATCH(1,D38:D83,0),2),2,FALSE)</f>
        <v>11370R</v>
      </c>
      <c r="I35" t="s">
        <v>1169</v>
      </c>
      <c r="J35" t="s">
        <v>16</v>
      </c>
    </row>
    <row r="36" spans="1:17" ht="12.75">
      <c r="A36">
        <f t="shared" si="0"/>
      </c>
      <c r="B36">
        <f t="shared" si="1"/>
      </c>
      <c r="D36">
        <v>2</v>
      </c>
      <c r="E36" t="str">
        <f ca="1">VLOOKUP(E$9&amp;"RWSTAR"&amp;$D36,OFFSET($K36,0,0,MATCH(1,D38:D83,0),2),2,FALSE)</f>
        <v>4369R</v>
      </c>
      <c r="F36" t="str">
        <f ca="1">VLOOKUP(F$9&amp;"RWSTAR"&amp;$D36,OFFSET($K36,0,0,MATCH(1,D38:D83,0),2),2,FALSE)</f>
        <v>10299R</v>
      </c>
      <c r="G36" t="str">
        <f ca="1">VLOOKUP(G$9&amp;"RWSTAR"&amp;$D36,OFFSET($K36,0,0,MATCH(1,D38:D83,0),2),2,FALSE)</f>
        <v>13290R</v>
      </c>
      <c r="I36" t="s">
        <v>17</v>
      </c>
      <c r="J36" t="s">
        <v>46</v>
      </c>
      <c r="K36" t="s">
        <v>1208</v>
      </c>
      <c r="L36" t="s">
        <v>1114</v>
      </c>
      <c r="P36" t="s">
        <v>19</v>
      </c>
      <c r="Q36" t="s">
        <v>597</v>
      </c>
    </row>
    <row r="37" spans="1:17" ht="12.75">
      <c r="A37">
        <f t="shared" si="0"/>
      </c>
      <c r="B37">
        <f t="shared" si="1"/>
      </c>
      <c r="D37">
        <v>3</v>
      </c>
      <c r="E37" t="str">
        <f ca="1">VLOOKUP(E$9&amp;"RWSTAR"&amp;$D37,OFFSET($K37,0,0,MATCH(1,D38:D83,0),2),2,FALSE)</f>
        <v>4939R</v>
      </c>
      <c r="F37" t="str">
        <f ca="1">VLOOKUP(F$9&amp;"RWSTAR"&amp;$D37,OFFSET($K37,0,0,MATCH(1,D38:D83,0),2),2,FALSE)</f>
        <v>11639R</v>
      </c>
      <c r="G37" t="str">
        <f ca="1">VLOOKUP(G$9&amp;"RWSTAR"&amp;$D37,OFFSET($K37,0,0,MATCH(1,D38:D83,0),2),2,FALSE)</f>
        <v>15250R</v>
      </c>
      <c r="I37" t="s">
        <v>21</v>
      </c>
      <c r="J37" t="s">
        <v>46</v>
      </c>
      <c r="K37" t="s">
        <v>1209</v>
      </c>
      <c r="L37" t="s">
        <v>1115</v>
      </c>
      <c r="P37" t="s">
        <v>51</v>
      </c>
      <c r="Q37" t="s">
        <v>598</v>
      </c>
    </row>
    <row r="38" spans="1:17" ht="12.75">
      <c r="A38">
        <f t="shared" si="0"/>
      </c>
      <c r="B38">
        <f t="shared" si="1"/>
      </c>
      <c r="I38" t="s">
        <v>23</v>
      </c>
      <c r="J38" t="s">
        <v>46</v>
      </c>
      <c r="K38" t="s">
        <v>1210</v>
      </c>
      <c r="L38" t="s">
        <v>268</v>
      </c>
      <c r="P38" t="s">
        <v>52</v>
      </c>
      <c r="Q38" t="s">
        <v>599</v>
      </c>
    </row>
    <row r="39" spans="1:17" ht="12.75">
      <c r="A39">
        <f t="shared" si="0"/>
      </c>
      <c r="B39">
        <f t="shared" si="1"/>
      </c>
      <c r="E39" t="str">
        <f>LEFT(E35,LEN(E35)-1)</f>
        <v>3799</v>
      </c>
      <c r="F39" t="str">
        <f aca="true" t="shared" si="3" ref="F39:G41">(LEFT(F35,LEN(F35)-1))</f>
        <v>8950</v>
      </c>
      <c r="G39" t="str">
        <f t="shared" si="3"/>
        <v>11370</v>
      </c>
      <c r="I39" t="s">
        <v>25</v>
      </c>
      <c r="J39" t="s">
        <v>46</v>
      </c>
      <c r="K39" t="s">
        <v>1211</v>
      </c>
      <c r="L39" t="s">
        <v>1116</v>
      </c>
      <c r="P39" t="s">
        <v>1214</v>
      </c>
      <c r="Q39" t="s">
        <v>600</v>
      </c>
    </row>
    <row r="40" spans="1:17" ht="12.75">
      <c r="A40">
        <f t="shared" si="0"/>
      </c>
      <c r="B40">
        <f t="shared" si="1"/>
      </c>
      <c r="E40" t="str">
        <f>(LEFT(E36,LEN(E36)-1))</f>
        <v>4369</v>
      </c>
      <c r="F40" t="str">
        <f t="shared" si="3"/>
        <v>10299</v>
      </c>
      <c r="G40" t="str">
        <f t="shared" si="3"/>
        <v>13290</v>
      </c>
      <c r="I40" t="s">
        <v>27</v>
      </c>
      <c r="J40" t="s">
        <v>46</v>
      </c>
      <c r="K40" t="s">
        <v>1212</v>
      </c>
      <c r="L40" t="s">
        <v>1117</v>
      </c>
      <c r="P40" t="s">
        <v>53</v>
      </c>
      <c r="Q40" t="s">
        <v>601</v>
      </c>
    </row>
    <row r="41" spans="1:17" ht="12.75">
      <c r="A41">
        <f t="shared" si="0"/>
      </c>
      <c r="B41">
        <f t="shared" si="1"/>
      </c>
      <c r="E41" t="str">
        <f>(LEFT(E37,LEN(E37)-1))</f>
        <v>4939</v>
      </c>
      <c r="F41" t="str">
        <f t="shared" si="3"/>
        <v>11639</v>
      </c>
      <c r="G41" t="str">
        <f t="shared" si="3"/>
        <v>15250</v>
      </c>
      <c r="I41" t="s">
        <v>29</v>
      </c>
      <c r="J41" t="s">
        <v>46</v>
      </c>
      <c r="K41" t="s">
        <v>1213</v>
      </c>
      <c r="L41" t="s">
        <v>1118</v>
      </c>
      <c r="P41" t="s">
        <v>1215</v>
      </c>
      <c r="Q41" t="s">
        <v>602</v>
      </c>
    </row>
    <row r="42" spans="1:17" ht="12.75">
      <c r="A42">
        <f t="shared" si="0"/>
      </c>
      <c r="B42">
        <f t="shared" si="1"/>
      </c>
      <c r="I42" t="s">
        <v>31</v>
      </c>
      <c r="J42" t="s">
        <v>46</v>
      </c>
      <c r="K42" t="s">
        <v>1214</v>
      </c>
      <c r="L42" t="s">
        <v>1119</v>
      </c>
      <c r="P42" t="s">
        <v>1216</v>
      </c>
      <c r="Q42" t="s">
        <v>603</v>
      </c>
    </row>
    <row r="43" spans="1:17" ht="12.75">
      <c r="A43">
        <f t="shared" si="0"/>
      </c>
      <c r="B43">
        <f t="shared" si="1"/>
      </c>
      <c r="I43" t="s">
        <v>33</v>
      </c>
      <c r="J43" t="s">
        <v>46</v>
      </c>
      <c r="K43" t="s">
        <v>1215</v>
      </c>
      <c r="L43" t="s">
        <v>1120</v>
      </c>
      <c r="P43" t="s">
        <v>54</v>
      </c>
      <c r="Q43" t="s">
        <v>604</v>
      </c>
    </row>
    <row r="44" spans="1:17" ht="12.75">
      <c r="A44">
        <f t="shared" si="0"/>
      </c>
      <c r="B44">
        <f t="shared" si="1"/>
      </c>
      <c r="I44" t="s">
        <v>35</v>
      </c>
      <c r="J44" t="s">
        <v>46</v>
      </c>
      <c r="K44" t="s">
        <v>1216</v>
      </c>
      <c r="L44" t="s">
        <v>482</v>
      </c>
      <c r="P44" t="s">
        <v>1211</v>
      </c>
      <c r="Q44" t="s">
        <v>605</v>
      </c>
    </row>
    <row r="45" spans="1:17" ht="12.75">
      <c r="A45">
        <f t="shared" si="0"/>
      </c>
      <c r="B45">
        <f t="shared" si="1"/>
      </c>
      <c r="I45" t="s">
        <v>37</v>
      </c>
      <c r="J45" t="s">
        <v>46</v>
      </c>
      <c r="P45" t="s">
        <v>55</v>
      </c>
      <c r="Q45" t="s">
        <v>606</v>
      </c>
    </row>
    <row r="46" spans="1:17" ht="12.75">
      <c r="A46">
        <f t="shared" si="0"/>
      </c>
      <c r="B46">
        <f t="shared" si="1"/>
      </c>
      <c r="I46" t="s">
        <v>56</v>
      </c>
      <c r="J46" t="s">
        <v>46</v>
      </c>
      <c r="P46" t="s">
        <v>57</v>
      </c>
      <c r="Q46" t="s">
        <v>607</v>
      </c>
    </row>
    <row r="47" spans="1:17" ht="12.75">
      <c r="A47">
        <f t="shared" si="0"/>
      </c>
      <c r="B47">
        <f t="shared" si="1"/>
      </c>
      <c r="I47" t="s">
        <v>58</v>
      </c>
      <c r="J47" t="s">
        <v>46</v>
      </c>
      <c r="P47" t="s">
        <v>1212</v>
      </c>
      <c r="Q47" t="s">
        <v>608</v>
      </c>
    </row>
    <row r="48" spans="1:17" ht="12.75">
      <c r="A48">
        <f t="shared" si="0"/>
      </c>
      <c r="B48">
        <f t="shared" si="1"/>
      </c>
      <c r="I48" t="s">
        <v>59</v>
      </c>
      <c r="J48" t="s">
        <v>46</v>
      </c>
      <c r="P48" t="s">
        <v>1208</v>
      </c>
      <c r="Q48" t="s">
        <v>609</v>
      </c>
    </row>
    <row r="49" spans="1:17" ht="12.75">
      <c r="A49">
        <f t="shared" si="0"/>
      </c>
      <c r="B49">
        <f t="shared" si="1"/>
      </c>
      <c r="I49" t="s">
        <v>60</v>
      </c>
      <c r="J49" t="s">
        <v>46</v>
      </c>
      <c r="P49" t="s">
        <v>1213</v>
      </c>
      <c r="Q49" t="s">
        <v>610</v>
      </c>
    </row>
    <row r="50" spans="1:17" ht="12.75">
      <c r="A50">
        <f t="shared" si="0"/>
      </c>
      <c r="B50">
        <f t="shared" si="1"/>
      </c>
      <c r="I50" t="s">
        <v>61</v>
      </c>
      <c r="J50" t="s">
        <v>46</v>
      </c>
      <c r="P50" t="s">
        <v>1209</v>
      </c>
      <c r="Q50" t="s">
        <v>1443</v>
      </c>
    </row>
    <row r="51" spans="1:17" ht="12.75">
      <c r="A51">
        <f t="shared" si="0"/>
      </c>
      <c r="B51">
        <f t="shared" si="1"/>
      </c>
      <c r="I51" t="s">
        <v>62</v>
      </c>
      <c r="J51" t="s">
        <v>46</v>
      </c>
      <c r="P51" t="s">
        <v>1210</v>
      </c>
      <c r="Q51" t="s">
        <v>356</v>
      </c>
    </row>
    <row r="52" spans="1:10" ht="12.75">
      <c r="A52">
        <f t="shared" si="0"/>
      </c>
      <c r="B52">
        <f t="shared" si="1"/>
      </c>
      <c r="I52" t="s">
        <v>63</v>
      </c>
      <c r="J52" t="s">
        <v>7</v>
      </c>
    </row>
    <row r="53" spans="1:12" ht="12.75">
      <c r="A53">
        <f t="shared" si="0"/>
      </c>
      <c r="B53">
        <f t="shared" si="1"/>
      </c>
      <c r="I53" t="s">
        <v>64</v>
      </c>
      <c r="J53" t="s">
        <v>9</v>
      </c>
      <c r="L53" t="s">
        <v>7</v>
      </c>
    </row>
    <row r="54" spans="1:12" ht="12.75">
      <c r="A54">
        <f t="shared" si="0"/>
      </c>
      <c r="B54">
        <f t="shared" si="1"/>
      </c>
      <c r="I54" t="s">
        <v>10</v>
      </c>
      <c r="J54" t="s">
        <v>11</v>
      </c>
      <c r="L54" t="s">
        <v>12</v>
      </c>
    </row>
    <row r="55" spans="1:10" ht="12.75">
      <c r="A55">
        <f t="shared" si="0"/>
      </c>
      <c r="B55">
        <f t="shared" si="1"/>
      </c>
      <c r="I55" t="s">
        <v>13</v>
      </c>
      <c r="J55" t="s">
        <v>2</v>
      </c>
    </row>
    <row r="56" spans="1:12" ht="12.75">
      <c r="A56">
        <f t="shared" si="0"/>
      </c>
      <c r="B56">
        <f t="shared" si="1"/>
      </c>
      <c r="E56" t="s">
        <v>1164</v>
      </c>
      <c r="F56" t="s">
        <v>1205</v>
      </c>
      <c r="G56" t="s">
        <v>1163</v>
      </c>
      <c r="I56" t="s">
        <v>14</v>
      </c>
      <c r="J56" t="s">
        <v>15</v>
      </c>
      <c r="K56" t="s">
        <v>1205</v>
      </c>
      <c r="L56" t="s">
        <v>15</v>
      </c>
    </row>
    <row r="57" spans="1:10" ht="12.75">
      <c r="A57" t="str">
        <f t="shared" si="0"/>
        <v>INR</v>
      </c>
      <c r="B57" t="str">
        <f t="shared" si="1"/>
        <v>BOM</v>
      </c>
      <c r="C57" t="s">
        <v>1394</v>
      </c>
      <c r="D57">
        <v>1</v>
      </c>
      <c r="E57" t="str">
        <f ca="1">VLOOKUP(E$9&amp;"RWSTAR"&amp;$D57,OFFSET($K57,0,0,MATCH(1,D60:D105,0),2),2,FALSE)</f>
        <v>114850R</v>
      </c>
      <c r="F57" t="str">
        <f ca="1">VLOOKUP(F$9&amp;"RWSTAR"&amp;$D57,OFFSET($K57,0,0,MATCH(1,D60:D105,0),2),2,FALSE)</f>
        <v>217100R</v>
      </c>
      <c r="G57" t="str">
        <f ca="1">VLOOKUP(G$9&amp;"RWSTAR"&amp;$D57,OFFSET($K57,0,0,MATCH(1,D60:D105,0),2),2,FALSE)</f>
        <v>364000R</v>
      </c>
      <c r="I57" t="s">
        <v>1272</v>
      </c>
      <c r="J57" t="s">
        <v>16</v>
      </c>
    </row>
    <row r="58" spans="1:17" ht="12.75">
      <c r="A58">
        <f t="shared" si="0"/>
      </c>
      <c r="B58">
        <f t="shared" si="1"/>
      </c>
      <c r="D58">
        <v>2</v>
      </c>
      <c r="E58" t="str">
        <f ca="1">VLOOKUP(E$9&amp;"RWSTAR"&amp;$D58,OFFSET($K58,0,0,MATCH(1,D60:D105,0),2),2,FALSE)</f>
        <v>132000R</v>
      </c>
      <c r="F58" t="str">
        <f ca="1">VLOOKUP(F$9&amp;"RWSTAR"&amp;$D58,OFFSET($K58,0,0,MATCH(1,D60:D105,0),2),2,FALSE)</f>
        <v>250000R</v>
      </c>
      <c r="G58" t="str">
        <f ca="1">VLOOKUP(G$9&amp;"RWSTAR"&amp;$D58,OFFSET($K58,0,0,MATCH(1,D60:D105,0),2),2,FALSE)</f>
        <v>418600R</v>
      </c>
      <c r="I58" t="s">
        <v>17</v>
      </c>
      <c r="J58" t="s">
        <v>242</v>
      </c>
      <c r="K58" t="s">
        <v>19</v>
      </c>
      <c r="L58" t="s">
        <v>78</v>
      </c>
      <c r="M58" t="s">
        <v>20</v>
      </c>
      <c r="P58" t="s">
        <v>19</v>
      </c>
      <c r="Q58" t="s">
        <v>65</v>
      </c>
    </row>
    <row r="59" spans="1:17" ht="12.75">
      <c r="A59">
        <f t="shared" si="0"/>
      </c>
      <c r="B59">
        <f t="shared" si="1"/>
      </c>
      <c r="D59">
        <v>3</v>
      </c>
      <c r="E59" t="str">
        <f ca="1">VLOOKUP(E$9&amp;"RWSTAR"&amp;$D59,OFFSET($K59,0,0,MATCH(1,D60:D105,0),2),2,FALSE)</f>
        <v>155000R</v>
      </c>
      <c r="F59" t="str">
        <f ca="1">VLOOKUP(F$9&amp;"RWSTAR"&amp;$D59,OFFSET($K59,0,0,MATCH(1,D60:D105,0),2),2,FALSE)</f>
        <v>293150R</v>
      </c>
      <c r="G59" t="str">
        <f ca="1">VLOOKUP(G$9&amp;"RWSTAR"&amp;$D59,OFFSET($K59,0,0,MATCH(1,D60:D105,0),2),2,FALSE)</f>
        <v>491400R</v>
      </c>
      <c r="I59" t="s">
        <v>21</v>
      </c>
      <c r="J59" t="s">
        <v>242</v>
      </c>
      <c r="K59" t="s">
        <v>1214</v>
      </c>
      <c r="L59" t="s">
        <v>233</v>
      </c>
      <c r="M59" t="s">
        <v>327</v>
      </c>
      <c r="P59" t="s">
        <v>1214</v>
      </c>
      <c r="Q59" t="s">
        <v>66</v>
      </c>
    </row>
    <row r="60" spans="1:17" ht="12.75">
      <c r="A60">
        <f t="shared" si="0"/>
      </c>
      <c r="B60">
        <f t="shared" si="1"/>
      </c>
      <c r="I60" t="s">
        <v>23</v>
      </c>
      <c r="J60" t="s">
        <v>242</v>
      </c>
      <c r="K60" t="s">
        <v>1215</v>
      </c>
      <c r="L60" t="s">
        <v>234</v>
      </c>
      <c r="M60" t="s">
        <v>327</v>
      </c>
      <c r="P60" t="s">
        <v>1215</v>
      </c>
      <c r="Q60" t="s">
        <v>67</v>
      </c>
    </row>
    <row r="61" spans="1:17" ht="12.75">
      <c r="A61">
        <f t="shared" si="0"/>
      </c>
      <c r="B61">
        <f t="shared" si="1"/>
      </c>
      <c r="E61" t="str">
        <f aca="true" t="shared" si="4" ref="E61:G63">(LEFT(E57,LEN(E57)-1))</f>
        <v>114850</v>
      </c>
      <c r="F61" t="str">
        <f t="shared" si="4"/>
        <v>217100</v>
      </c>
      <c r="G61" t="str">
        <f t="shared" si="4"/>
        <v>364000</v>
      </c>
      <c r="I61" t="s">
        <v>25</v>
      </c>
      <c r="J61" t="s">
        <v>242</v>
      </c>
      <c r="K61" t="s">
        <v>1216</v>
      </c>
      <c r="L61" t="s">
        <v>235</v>
      </c>
      <c r="M61" t="s">
        <v>327</v>
      </c>
      <c r="P61" t="s">
        <v>1216</v>
      </c>
      <c r="Q61" t="s">
        <v>68</v>
      </c>
    </row>
    <row r="62" spans="1:17" ht="12.75">
      <c r="A62">
        <f t="shared" si="0"/>
      </c>
      <c r="B62">
        <f t="shared" si="1"/>
      </c>
      <c r="E62" t="str">
        <f t="shared" si="4"/>
        <v>132000</v>
      </c>
      <c r="F62" t="str">
        <f t="shared" si="4"/>
        <v>250000</v>
      </c>
      <c r="G62" t="str">
        <f t="shared" si="4"/>
        <v>418600</v>
      </c>
      <c r="I62" t="s">
        <v>27</v>
      </c>
      <c r="J62" t="s">
        <v>242</v>
      </c>
      <c r="K62" t="s">
        <v>1211</v>
      </c>
      <c r="L62" t="s">
        <v>236</v>
      </c>
      <c r="M62" t="s">
        <v>1368</v>
      </c>
      <c r="P62" t="s">
        <v>1211</v>
      </c>
      <c r="Q62" t="s">
        <v>69</v>
      </c>
    </row>
    <row r="63" spans="1:17" ht="12.75">
      <c r="A63">
        <f t="shared" si="0"/>
      </c>
      <c r="B63">
        <f t="shared" si="1"/>
      </c>
      <c r="E63" t="str">
        <f t="shared" si="4"/>
        <v>155000</v>
      </c>
      <c r="F63" t="str">
        <f t="shared" si="4"/>
        <v>293150</v>
      </c>
      <c r="G63" t="str">
        <f t="shared" si="4"/>
        <v>491400</v>
      </c>
      <c r="I63" t="s">
        <v>29</v>
      </c>
      <c r="J63" t="s">
        <v>242</v>
      </c>
      <c r="K63" t="s">
        <v>1212</v>
      </c>
      <c r="L63" t="s">
        <v>237</v>
      </c>
      <c r="M63" t="s">
        <v>1368</v>
      </c>
      <c r="P63" t="s">
        <v>1212</v>
      </c>
      <c r="Q63" t="s">
        <v>70</v>
      </c>
    </row>
    <row r="64" spans="1:17" ht="12.75">
      <c r="A64">
        <f t="shared" si="0"/>
      </c>
      <c r="B64">
        <f t="shared" si="1"/>
      </c>
      <c r="I64" t="s">
        <v>31</v>
      </c>
      <c r="J64" t="s">
        <v>242</v>
      </c>
      <c r="K64" t="s">
        <v>1213</v>
      </c>
      <c r="L64" t="s">
        <v>238</v>
      </c>
      <c r="M64" t="s">
        <v>1368</v>
      </c>
      <c r="P64" t="s">
        <v>1213</v>
      </c>
      <c r="Q64" t="s">
        <v>71</v>
      </c>
    </row>
    <row r="65" spans="1:17" ht="12.75">
      <c r="A65">
        <f t="shared" si="0"/>
      </c>
      <c r="B65">
        <f t="shared" si="1"/>
      </c>
      <c r="I65" t="s">
        <v>33</v>
      </c>
      <c r="J65" t="s">
        <v>242</v>
      </c>
      <c r="K65" t="s">
        <v>1208</v>
      </c>
      <c r="L65" t="s">
        <v>239</v>
      </c>
      <c r="M65" t="s">
        <v>1367</v>
      </c>
      <c r="P65" t="s">
        <v>1208</v>
      </c>
      <c r="Q65" t="s">
        <v>72</v>
      </c>
    </row>
    <row r="66" spans="1:17" ht="12.75">
      <c r="A66">
        <f t="shared" si="0"/>
      </c>
      <c r="B66">
        <f t="shared" si="1"/>
      </c>
      <c r="I66" t="s">
        <v>35</v>
      </c>
      <c r="J66" t="s">
        <v>242</v>
      </c>
      <c r="K66" t="s">
        <v>1209</v>
      </c>
      <c r="L66" t="s">
        <v>240</v>
      </c>
      <c r="M66" t="s">
        <v>1367</v>
      </c>
      <c r="P66" t="s">
        <v>1209</v>
      </c>
      <c r="Q66" t="s">
        <v>73</v>
      </c>
    </row>
    <row r="67" spans="1:17" ht="12.75">
      <c r="A67">
        <f t="shared" si="0"/>
      </c>
      <c r="B67">
        <f t="shared" si="1"/>
      </c>
      <c r="I67" t="s">
        <v>37</v>
      </c>
      <c r="J67" t="s">
        <v>242</v>
      </c>
      <c r="K67" t="s">
        <v>1210</v>
      </c>
      <c r="L67" t="s">
        <v>241</v>
      </c>
      <c r="M67" t="s">
        <v>1367</v>
      </c>
      <c r="P67" t="s">
        <v>1210</v>
      </c>
      <c r="Q67" t="s">
        <v>74</v>
      </c>
    </row>
    <row r="68" spans="1:2" ht="12.75">
      <c r="A68">
        <f t="shared" si="0"/>
      </c>
      <c r="B68">
        <f t="shared" si="1"/>
      </c>
    </row>
    <row r="69" spans="1:15" ht="12.75">
      <c r="A69">
        <f t="shared" si="0"/>
      </c>
      <c r="B69">
        <f t="shared" si="1"/>
      </c>
      <c r="I69" t="s">
        <v>75</v>
      </c>
      <c r="J69" t="s">
        <v>76</v>
      </c>
      <c r="K69" t="s">
        <v>35</v>
      </c>
      <c r="L69" t="s">
        <v>77</v>
      </c>
      <c r="M69" t="s">
        <v>78</v>
      </c>
      <c r="N69" t="s">
        <v>19</v>
      </c>
      <c r="O69" t="s">
        <v>20</v>
      </c>
    </row>
    <row r="70" spans="1:10" ht="12.75">
      <c r="A70">
        <f t="shared" si="0"/>
      </c>
      <c r="B70">
        <f t="shared" si="1"/>
      </c>
      <c r="I70" t="s">
        <v>79</v>
      </c>
      <c r="J70" t="s">
        <v>7</v>
      </c>
    </row>
    <row r="71" spans="1:12" ht="12.75">
      <c r="A71">
        <f t="shared" si="0"/>
      </c>
      <c r="B71">
        <f t="shared" si="1"/>
      </c>
      <c r="I71" t="s">
        <v>80</v>
      </c>
      <c r="J71" t="s">
        <v>9</v>
      </c>
      <c r="L71" t="s">
        <v>7</v>
      </c>
    </row>
    <row r="72" spans="1:12" ht="12.75">
      <c r="A72">
        <f t="shared" si="0"/>
      </c>
      <c r="B72">
        <f t="shared" si="1"/>
      </c>
      <c r="I72" t="s">
        <v>10</v>
      </c>
      <c r="J72" t="s">
        <v>11</v>
      </c>
      <c r="L72" t="s">
        <v>12</v>
      </c>
    </row>
    <row r="73" spans="1:10" ht="12.75">
      <c r="A73">
        <f t="shared" si="0"/>
      </c>
      <c r="B73">
        <f t="shared" si="1"/>
      </c>
      <c r="I73" t="s">
        <v>13</v>
      </c>
      <c r="J73" t="s">
        <v>2</v>
      </c>
    </row>
    <row r="74" spans="1:12" ht="12.75">
      <c r="A74">
        <f t="shared" si="0"/>
      </c>
      <c r="B74">
        <f t="shared" si="1"/>
      </c>
      <c r="E74" t="s">
        <v>1164</v>
      </c>
      <c r="F74" t="s">
        <v>1205</v>
      </c>
      <c r="G74" t="s">
        <v>1163</v>
      </c>
      <c r="I74" t="s">
        <v>14</v>
      </c>
      <c r="J74" t="s">
        <v>15</v>
      </c>
      <c r="K74" t="s">
        <v>1205</v>
      </c>
      <c r="L74" t="s">
        <v>15</v>
      </c>
    </row>
    <row r="75" spans="1:17" ht="12.75">
      <c r="A75" t="str">
        <f aca="true" t="shared" si="5" ref="A75:A138">IF(J75="BASIS",I75,"")</f>
        <v>EUR</v>
      </c>
      <c r="B75" t="str">
        <f aca="true" t="shared" si="6" ref="B75:B138">IF(A75&lt;&gt;"",LEFT(I71,3),"")</f>
        <v>IST</v>
      </c>
      <c r="C75" t="s">
        <v>1013</v>
      </c>
      <c r="D75">
        <v>1</v>
      </c>
      <c r="E75" t="str">
        <f ca="1">VLOOKUP(E$9&amp;"RWSTAR"&amp;$D75,OFFSET($K75,0,0,MATCH(1,D78:D123,0),2),2,FALSE)</f>
        <v>2399R</v>
      </c>
      <c r="F75" t="str">
        <f ca="1">VLOOKUP(F$9&amp;"RWSTAR"&amp;$D75,OFFSET($K75,0,0,MATCH(1,D78:D123,0),2),2,FALSE)</f>
        <v>5399R</v>
      </c>
      <c r="G75" t="str">
        <f ca="1">VLOOKUP(G$9&amp;"RWSTAR"&amp;$D75,OFFSET($K75,0,0,MATCH(1,D78:D123,0),2),2,FALSE)</f>
        <v>8449R</v>
      </c>
      <c r="I75" t="s">
        <v>1308</v>
      </c>
      <c r="J75" t="s">
        <v>16</v>
      </c>
      <c r="P75" t="s">
        <v>1251</v>
      </c>
      <c r="Q75" t="s">
        <v>16</v>
      </c>
    </row>
    <row r="76" spans="1:19" ht="12.75">
      <c r="A76">
        <f t="shared" si="5"/>
      </c>
      <c r="B76">
        <f t="shared" si="6"/>
      </c>
      <c r="D76">
        <v>2</v>
      </c>
      <c r="E76" t="str">
        <f ca="1">VLOOKUP(E$9&amp;"RWSTAR"&amp;$D76,OFFSET($K76,0,0,MATCH(1,D78:D123,0),2),2,FALSE)</f>
        <v>2749R</v>
      </c>
      <c r="F76" t="str">
        <f ca="1">VLOOKUP(F$9&amp;"RWSTAR"&amp;$D76,OFFSET($K76,0,0,MATCH(1,D78:D123,0),2),2,FALSE)</f>
        <v>6249R</v>
      </c>
      <c r="G76" t="str">
        <f ca="1">VLOOKUP(G$9&amp;"RWSTAR"&amp;$D76,OFFSET($K76,0,0,MATCH(1,D78:D123,0),2),2,FALSE)</f>
        <v>9699R</v>
      </c>
      <c r="I76" t="s">
        <v>1693</v>
      </c>
      <c r="J76" t="s">
        <v>1624</v>
      </c>
      <c r="K76" t="s">
        <v>1211</v>
      </c>
      <c r="L76" t="s">
        <v>348</v>
      </c>
      <c r="M76" t="s">
        <v>1368</v>
      </c>
      <c r="P76" t="s">
        <v>17</v>
      </c>
      <c r="Q76" t="s">
        <v>7</v>
      </c>
      <c r="R76" t="s">
        <v>19</v>
      </c>
      <c r="S76" t="s">
        <v>357</v>
      </c>
    </row>
    <row r="77" spans="1:19" ht="12.75">
      <c r="A77">
        <f t="shared" si="5"/>
      </c>
      <c r="B77">
        <f t="shared" si="6"/>
      </c>
      <c r="D77">
        <v>3</v>
      </c>
      <c r="E77" t="str">
        <f ca="1">VLOOKUP(E$9&amp;"RWSTAR"&amp;$D77,OFFSET($K77,0,0,MATCH(1,D78:D123,0),2),2,FALSE)</f>
        <v>3249R</v>
      </c>
      <c r="F77" t="str">
        <f ca="1">VLOOKUP(F$9&amp;"RWSTAR"&amp;$D77,OFFSET($K77,0,0,MATCH(1,D78:D123,0),2),2,FALSE)</f>
        <v>7349R</v>
      </c>
      <c r="G77" t="str">
        <f ca="1">VLOOKUP(G$9&amp;"RWSTAR"&amp;$D77,OFFSET($K77,0,0,MATCH(1,D78:D123,0),2),2,FALSE)</f>
        <v>11449R</v>
      </c>
      <c r="I77" t="s">
        <v>1696</v>
      </c>
      <c r="J77" t="s">
        <v>1624</v>
      </c>
      <c r="K77" t="s">
        <v>1212</v>
      </c>
      <c r="L77" t="s">
        <v>349</v>
      </c>
      <c r="M77" t="s">
        <v>1368</v>
      </c>
      <c r="P77" t="s">
        <v>21</v>
      </c>
      <c r="Q77" t="s">
        <v>7</v>
      </c>
      <c r="R77" t="s">
        <v>1214</v>
      </c>
      <c r="S77" t="s">
        <v>358</v>
      </c>
    </row>
    <row r="78" spans="1:19" ht="12.75">
      <c r="A78">
        <f t="shared" si="5"/>
      </c>
      <c r="B78">
        <f t="shared" si="6"/>
      </c>
      <c r="I78" t="s">
        <v>332</v>
      </c>
      <c r="J78" t="s">
        <v>1624</v>
      </c>
      <c r="K78" t="s">
        <v>1213</v>
      </c>
      <c r="L78" t="s">
        <v>433</v>
      </c>
      <c r="M78" t="s">
        <v>1368</v>
      </c>
      <c r="P78" t="s">
        <v>23</v>
      </c>
      <c r="Q78" t="s">
        <v>7</v>
      </c>
      <c r="R78" t="s">
        <v>1215</v>
      </c>
      <c r="S78" t="s">
        <v>359</v>
      </c>
    </row>
    <row r="79" spans="1:19" ht="12.75">
      <c r="A79">
        <f t="shared" si="5"/>
      </c>
      <c r="B79">
        <f t="shared" si="6"/>
      </c>
      <c r="E79" t="str">
        <f aca="true" t="shared" si="7" ref="E79:G81">(LEFT(E75,LEN(E75)-1))</f>
        <v>2399</v>
      </c>
      <c r="F79" t="str">
        <f t="shared" si="7"/>
        <v>5399</v>
      </c>
      <c r="G79" t="str">
        <f t="shared" si="7"/>
        <v>8449</v>
      </c>
      <c r="I79" t="s">
        <v>333</v>
      </c>
      <c r="J79" t="s">
        <v>1624</v>
      </c>
      <c r="K79" t="s">
        <v>1208</v>
      </c>
      <c r="L79" t="s">
        <v>434</v>
      </c>
      <c r="M79" t="s">
        <v>1367</v>
      </c>
      <c r="P79" t="s">
        <v>25</v>
      </c>
      <c r="Q79" t="s">
        <v>7</v>
      </c>
      <c r="R79" t="s">
        <v>1216</v>
      </c>
      <c r="S79" t="s">
        <v>360</v>
      </c>
    </row>
    <row r="80" spans="1:19" ht="12.75">
      <c r="A80">
        <f t="shared" si="5"/>
      </c>
      <c r="B80">
        <f t="shared" si="6"/>
      </c>
      <c r="E80" t="str">
        <f t="shared" si="7"/>
        <v>2749</v>
      </c>
      <c r="F80" t="str">
        <f t="shared" si="7"/>
        <v>6249</v>
      </c>
      <c r="G80" t="str">
        <f t="shared" si="7"/>
        <v>9699</v>
      </c>
      <c r="I80" t="s">
        <v>334</v>
      </c>
      <c r="J80" t="s">
        <v>1624</v>
      </c>
      <c r="K80" t="s">
        <v>1209</v>
      </c>
      <c r="L80" t="s">
        <v>350</v>
      </c>
      <c r="M80" t="s">
        <v>1367</v>
      </c>
      <c r="P80" t="s">
        <v>27</v>
      </c>
      <c r="Q80" t="s">
        <v>7</v>
      </c>
      <c r="R80" t="s">
        <v>1211</v>
      </c>
      <c r="S80" t="s">
        <v>361</v>
      </c>
    </row>
    <row r="81" spans="1:19" ht="12.75">
      <c r="A81">
        <f t="shared" si="5"/>
      </c>
      <c r="B81">
        <f t="shared" si="6"/>
      </c>
      <c r="E81" t="str">
        <f t="shared" si="7"/>
        <v>3249</v>
      </c>
      <c r="F81" t="str">
        <f t="shared" si="7"/>
        <v>7349</v>
      </c>
      <c r="G81" t="str">
        <f t="shared" si="7"/>
        <v>11449</v>
      </c>
      <c r="I81" t="s">
        <v>335</v>
      </c>
      <c r="J81" t="s">
        <v>1624</v>
      </c>
      <c r="K81" t="s">
        <v>1210</v>
      </c>
      <c r="L81" t="s">
        <v>351</v>
      </c>
      <c r="M81" t="s">
        <v>1367</v>
      </c>
      <c r="P81" t="s">
        <v>29</v>
      </c>
      <c r="Q81" t="s">
        <v>7</v>
      </c>
      <c r="R81" t="s">
        <v>1212</v>
      </c>
      <c r="S81" t="s">
        <v>362</v>
      </c>
    </row>
    <row r="82" spans="1:19" ht="12.75">
      <c r="A82">
        <f t="shared" si="5"/>
      </c>
      <c r="B82">
        <f t="shared" si="6"/>
      </c>
      <c r="I82" t="s">
        <v>33</v>
      </c>
      <c r="J82" t="s">
        <v>1624</v>
      </c>
      <c r="K82" t="s">
        <v>1214</v>
      </c>
      <c r="L82" t="s">
        <v>437</v>
      </c>
      <c r="M82" t="s">
        <v>327</v>
      </c>
      <c r="P82" t="s">
        <v>31</v>
      </c>
      <c r="Q82" t="s">
        <v>7</v>
      </c>
      <c r="R82" t="s">
        <v>1213</v>
      </c>
      <c r="S82" t="s">
        <v>363</v>
      </c>
    </row>
    <row r="83" spans="1:19" ht="12.75">
      <c r="A83">
        <f t="shared" si="5"/>
      </c>
      <c r="B83">
        <f t="shared" si="6"/>
      </c>
      <c r="I83" t="s">
        <v>56</v>
      </c>
      <c r="J83" t="s">
        <v>1624</v>
      </c>
      <c r="K83" t="s">
        <v>1215</v>
      </c>
      <c r="L83" t="s">
        <v>399</v>
      </c>
      <c r="M83" t="s">
        <v>327</v>
      </c>
      <c r="P83" t="s">
        <v>33</v>
      </c>
      <c r="Q83" t="s">
        <v>7</v>
      </c>
      <c r="R83" t="s">
        <v>1208</v>
      </c>
      <c r="S83" t="s">
        <v>364</v>
      </c>
    </row>
    <row r="84" spans="1:19" ht="12.75">
      <c r="A84">
        <f t="shared" si="5"/>
      </c>
      <c r="B84">
        <f t="shared" si="6"/>
      </c>
      <c r="I84" t="s">
        <v>59</v>
      </c>
      <c r="J84" t="s">
        <v>1624</v>
      </c>
      <c r="K84" t="s">
        <v>1216</v>
      </c>
      <c r="L84" t="s">
        <v>438</v>
      </c>
      <c r="M84" t="s">
        <v>327</v>
      </c>
      <c r="P84" t="s">
        <v>35</v>
      </c>
      <c r="Q84" t="s">
        <v>7</v>
      </c>
      <c r="R84" t="s">
        <v>1209</v>
      </c>
      <c r="S84" t="s">
        <v>365</v>
      </c>
    </row>
    <row r="85" spans="1:19" ht="12.75">
      <c r="A85">
        <f t="shared" si="5"/>
      </c>
      <c r="B85">
        <f t="shared" si="6"/>
      </c>
      <c r="P85" t="s">
        <v>37</v>
      </c>
      <c r="Q85" t="s">
        <v>7</v>
      </c>
      <c r="R85" t="s">
        <v>1210</v>
      </c>
      <c r="S85" t="s">
        <v>366</v>
      </c>
    </row>
    <row r="86" spans="1:10" ht="12.75">
      <c r="A86">
        <f t="shared" si="5"/>
      </c>
      <c r="B86">
        <f t="shared" si="6"/>
      </c>
      <c r="I86" t="s">
        <v>81</v>
      </c>
      <c r="J86" t="s">
        <v>46</v>
      </c>
    </row>
    <row r="87" spans="1:12" ht="12.75">
      <c r="A87">
        <f t="shared" si="5"/>
      </c>
      <c r="B87">
        <f t="shared" si="6"/>
      </c>
      <c r="I87" t="s">
        <v>82</v>
      </c>
      <c r="J87" t="s">
        <v>9</v>
      </c>
      <c r="L87" t="s">
        <v>46</v>
      </c>
    </row>
    <row r="88" spans="1:12" ht="12.75">
      <c r="A88">
        <f t="shared" si="5"/>
      </c>
      <c r="B88">
        <f t="shared" si="6"/>
      </c>
      <c r="I88" t="s">
        <v>10</v>
      </c>
      <c r="J88" t="s">
        <v>11</v>
      </c>
      <c r="L88" t="s">
        <v>12</v>
      </c>
    </row>
    <row r="89" spans="1:10" ht="12.75">
      <c r="A89">
        <f t="shared" si="5"/>
      </c>
      <c r="B89">
        <f t="shared" si="6"/>
      </c>
      <c r="I89" t="s">
        <v>13</v>
      </c>
      <c r="J89" t="s">
        <v>2</v>
      </c>
    </row>
    <row r="90" spans="1:12" ht="12.75">
      <c r="A90">
        <f t="shared" si="5"/>
      </c>
      <c r="B90">
        <f t="shared" si="6"/>
      </c>
      <c r="E90" t="s">
        <v>1164</v>
      </c>
      <c r="F90" t="s">
        <v>1205</v>
      </c>
      <c r="G90" t="s">
        <v>1163</v>
      </c>
      <c r="I90" t="s">
        <v>14</v>
      </c>
      <c r="J90" t="s">
        <v>15</v>
      </c>
      <c r="K90" t="s">
        <v>1205</v>
      </c>
      <c r="L90" t="s">
        <v>15</v>
      </c>
    </row>
    <row r="91" spans="1:10" ht="12.75">
      <c r="A91" t="str">
        <f t="shared" si="5"/>
        <v>TOP</v>
      </c>
      <c r="B91" t="str">
        <f t="shared" si="6"/>
        <v>TBU</v>
      </c>
      <c r="C91" t="s">
        <v>1177</v>
      </c>
      <c r="D91">
        <v>1</v>
      </c>
      <c r="E91" t="str">
        <f ca="1">VLOOKUP(E$9&amp;"RWSTAR"&amp;$D91,OFFSET($K91,0,0,MATCH(1,D94:D139,0),2),2,FALSE)</f>
        <v>4700R</v>
      </c>
      <c r="F91" t="str">
        <f ca="1">VLOOKUP(F$9&amp;"RWSTAR"&amp;$D91,OFFSET($K91,0,0,MATCH(1,D94:D139,0),2),2,FALSE)</f>
        <v>11739R</v>
      </c>
      <c r="G91" t="str">
        <f ca="1">VLOOKUP(G$9&amp;"RWSTAR"&amp;$D91,OFFSET($K91,0,0,MATCH(1,D94:D139,0),2),2,FALSE)</f>
        <v>16199R</v>
      </c>
      <c r="I91" t="s">
        <v>1167</v>
      </c>
      <c r="J91" t="s">
        <v>16</v>
      </c>
    </row>
    <row r="92" spans="1:19" ht="12.75">
      <c r="A92">
        <f t="shared" si="5"/>
      </c>
      <c r="B92">
        <f t="shared" si="6"/>
      </c>
      <c r="D92">
        <v>2</v>
      </c>
      <c r="E92" t="str">
        <f ca="1">VLOOKUP(E$9&amp;"RWSTAR"&amp;$D92,OFFSET($K92,0,0,MATCH(1,D94:D139,0),2),2,FALSE)</f>
        <v>5409R</v>
      </c>
      <c r="F92" t="str">
        <f ca="1">VLOOKUP(F$9&amp;"RWSTAR"&amp;$D92,OFFSET($K92,0,0,MATCH(1,D94:D139,0),2),2,FALSE)</f>
        <v>13500R</v>
      </c>
      <c r="G92" t="str">
        <f ca="1">VLOOKUP(G$9&amp;"RWSTAR"&amp;$D92,OFFSET($K92,0,0,MATCH(1,D94:D139,0),2),2,FALSE)</f>
        <v>18629R</v>
      </c>
      <c r="I92" t="s">
        <v>17</v>
      </c>
      <c r="J92" t="s">
        <v>46</v>
      </c>
      <c r="K92" t="s">
        <v>19</v>
      </c>
      <c r="L92" t="s">
        <v>367</v>
      </c>
      <c r="M92" t="s">
        <v>20</v>
      </c>
      <c r="P92" t="s">
        <v>17</v>
      </c>
      <c r="Q92" t="s">
        <v>46</v>
      </c>
      <c r="R92" t="s">
        <v>19</v>
      </c>
      <c r="S92" t="s">
        <v>367</v>
      </c>
    </row>
    <row r="93" spans="1:19" ht="12.75">
      <c r="A93">
        <f t="shared" si="5"/>
      </c>
      <c r="B93">
        <f t="shared" si="6"/>
      </c>
      <c r="D93">
        <v>3</v>
      </c>
      <c r="E93" t="str">
        <f ca="1">VLOOKUP(E$9&amp;"RWSTAR"&amp;$D93,OFFSET($K93,0,0,MATCH(1,D94:D139,0),2),2,FALSE)</f>
        <v>6109R</v>
      </c>
      <c r="F93" t="str">
        <f ca="1">VLOOKUP(F$9&amp;"RWSTAR"&amp;$D93,OFFSET($K93,0,0,MATCH(1,D94:D139,0),2),2,FALSE)</f>
        <v>15529R</v>
      </c>
      <c r="G93" t="str">
        <f ca="1">VLOOKUP(G$9&amp;"RWSTAR"&amp;$D93,OFFSET($K93,0,0,MATCH(1,D94:D139,0),2),2,FALSE)</f>
        <v>21429R</v>
      </c>
      <c r="I93" t="s">
        <v>21</v>
      </c>
      <c r="J93" t="s">
        <v>46</v>
      </c>
      <c r="K93" t="s">
        <v>83</v>
      </c>
      <c r="L93" t="s">
        <v>368</v>
      </c>
      <c r="M93" t="s">
        <v>326</v>
      </c>
      <c r="P93" t="s">
        <v>21</v>
      </c>
      <c r="Q93" t="s">
        <v>46</v>
      </c>
      <c r="R93" t="s">
        <v>83</v>
      </c>
      <c r="S93" t="s">
        <v>368</v>
      </c>
    </row>
    <row r="94" spans="1:19" ht="12.75">
      <c r="A94">
        <f t="shared" si="5"/>
      </c>
      <c r="B94">
        <f t="shared" si="6"/>
      </c>
      <c r="I94" t="s">
        <v>23</v>
      </c>
      <c r="J94" t="s">
        <v>46</v>
      </c>
      <c r="K94" t="s">
        <v>1214</v>
      </c>
      <c r="L94" t="s">
        <v>1101</v>
      </c>
      <c r="M94" t="s">
        <v>327</v>
      </c>
      <c r="P94" t="s">
        <v>23</v>
      </c>
      <c r="Q94" t="s">
        <v>46</v>
      </c>
      <c r="R94" t="s">
        <v>1214</v>
      </c>
      <c r="S94" t="s">
        <v>369</v>
      </c>
    </row>
    <row r="95" spans="1:19" ht="12.75">
      <c r="A95">
        <f t="shared" si="5"/>
      </c>
      <c r="B95">
        <f t="shared" si="6"/>
      </c>
      <c r="E95" t="str">
        <f aca="true" t="shared" si="8" ref="E95:G97">(LEFT(E91,LEN(E91)-1))</f>
        <v>4700</v>
      </c>
      <c r="F95" t="str">
        <f t="shared" si="8"/>
        <v>11739</v>
      </c>
      <c r="G95" t="str">
        <f t="shared" si="8"/>
        <v>16199</v>
      </c>
      <c r="I95" t="s">
        <v>25</v>
      </c>
      <c r="J95" t="s">
        <v>46</v>
      </c>
      <c r="K95" t="s">
        <v>52</v>
      </c>
      <c r="L95" t="s">
        <v>370</v>
      </c>
      <c r="M95" t="s">
        <v>328</v>
      </c>
      <c r="P95" t="s">
        <v>25</v>
      </c>
      <c r="Q95" t="s">
        <v>46</v>
      </c>
      <c r="R95" t="s">
        <v>52</v>
      </c>
      <c r="S95" t="s">
        <v>370</v>
      </c>
    </row>
    <row r="96" spans="1:19" ht="12.75">
      <c r="A96">
        <f t="shared" si="5"/>
      </c>
      <c r="B96">
        <f t="shared" si="6"/>
      </c>
      <c r="E96" t="str">
        <f t="shared" si="8"/>
        <v>5409</v>
      </c>
      <c r="F96" t="str">
        <f t="shared" si="8"/>
        <v>13500</v>
      </c>
      <c r="G96" t="str">
        <f t="shared" si="8"/>
        <v>18629</v>
      </c>
      <c r="I96" t="s">
        <v>27</v>
      </c>
      <c r="J96" t="s">
        <v>46</v>
      </c>
      <c r="K96" t="s">
        <v>1215</v>
      </c>
      <c r="L96" t="s">
        <v>1127</v>
      </c>
      <c r="M96" t="s">
        <v>327</v>
      </c>
      <c r="P96" t="s">
        <v>27</v>
      </c>
      <c r="Q96" t="s">
        <v>46</v>
      </c>
      <c r="R96" t="s">
        <v>1215</v>
      </c>
      <c r="S96" t="s">
        <v>371</v>
      </c>
    </row>
    <row r="97" spans="1:19" ht="12.75">
      <c r="A97">
        <f t="shared" si="5"/>
      </c>
      <c r="B97">
        <f t="shared" si="6"/>
      </c>
      <c r="E97" t="str">
        <f t="shared" si="8"/>
        <v>6109</v>
      </c>
      <c r="F97" t="str">
        <f t="shared" si="8"/>
        <v>15529</v>
      </c>
      <c r="G97" t="str">
        <f t="shared" si="8"/>
        <v>21429</v>
      </c>
      <c r="I97" t="s">
        <v>29</v>
      </c>
      <c r="J97" t="s">
        <v>46</v>
      </c>
      <c r="K97" t="s">
        <v>1216</v>
      </c>
      <c r="L97" t="s">
        <v>1128</v>
      </c>
      <c r="M97" t="s">
        <v>327</v>
      </c>
      <c r="P97" t="s">
        <v>29</v>
      </c>
      <c r="Q97" t="s">
        <v>46</v>
      </c>
      <c r="R97" t="s">
        <v>1216</v>
      </c>
      <c r="S97" t="s">
        <v>372</v>
      </c>
    </row>
    <row r="98" spans="1:19" ht="12.75">
      <c r="A98">
        <f t="shared" si="5"/>
      </c>
      <c r="B98">
        <f t="shared" si="6"/>
      </c>
      <c r="I98" t="s">
        <v>31</v>
      </c>
      <c r="J98" t="s">
        <v>46</v>
      </c>
      <c r="K98" t="s">
        <v>54</v>
      </c>
      <c r="L98" t="s">
        <v>373</v>
      </c>
      <c r="M98" t="s">
        <v>326</v>
      </c>
      <c r="P98" t="s">
        <v>31</v>
      </c>
      <c r="Q98" t="s">
        <v>46</v>
      </c>
      <c r="R98" t="s">
        <v>54</v>
      </c>
      <c r="S98" t="s">
        <v>373</v>
      </c>
    </row>
    <row r="99" spans="1:19" ht="12.75">
      <c r="A99">
        <f t="shared" si="5"/>
      </c>
      <c r="B99">
        <f t="shared" si="6"/>
      </c>
      <c r="I99" t="s">
        <v>33</v>
      </c>
      <c r="J99" t="s">
        <v>46</v>
      </c>
      <c r="K99" t="s">
        <v>1211</v>
      </c>
      <c r="L99" t="s">
        <v>1121</v>
      </c>
      <c r="M99" t="s">
        <v>1368</v>
      </c>
      <c r="P99" t="s">
        <v>33</v>
      </c>
      <c r="Q99" t="s">
        <v>46</v>
      </c>
      <c r="R99" t="s">
        <v>1211</v>
      </c>
      <c r="S99" t="s">
        <v>374</v>
      </c>
    </row>
    <row r="100" spans="1:19" ht="12.75">
      <c r="A100">
        <f t="shared" si="5"/>
      </c>
      <c r="B100">
        <f t="shared" si="6"/>
      </c>
      <c r="I100" t="s">
        <v>35</v>
      </c>
      <c r="J100" t="s">
        <v>46</v>
      </c>
      <c r="K100" t="s">
        <v>1212</v>
      </c>
      <c r="L100" t="s">
        <v>1122</v>
      </c>
      <c r="M100" t="s">
        <v>1368</v>
      </c>
      <c r="P100" t="s">
        <v>35</v>
      </c>
      <c r="Q100" t="s">
        <v>46</v>
      </c>
      <c r="R100" t="s">
        <v>1212</v>
      </c>
      <c r="S100" t="s">
        <v>375</v>
      </c>
    </row>
    <row r="101" spans="1:19" ht="12.75">
      <c r="A101">
        <f t="shared" si="5"/>
      </c>
      <c r="B101">
        <f t="shared" si="6"/>
      </c>
      <c r="I101" t="s">
        <v>37</v>
      </c>
      <c r="J101" t="s">
        <v>46</v>
      </c>
      <c r="K101" t="s">
        <v>57</v>
      </c>
      <c r="L101" t="s">
        <v>376</v>
      </c>
      <c r="M101" t="s">
        <v>329</v>
      </c>
      <c r="P101" t="s">
        <v>37</v>
      </c>
      <c r="Q101" t="s">
        <v>46</v>
      </c>
      <c r="R101" t="s">
        <v>57</v>
      </c>
      <c r="S101" t="s">
        <v>376</v>
      </c>
    </row>
    <row r="102" spans="1:19" ht="12.75">
      <c r="A102">
        <f t="shared" si="5"/>
      </c>
      <c r="B102">
        <f t="shared" si="6"/>
      </c>
      <c r="I102" t="s">
        <v>56</v>
      </c>
      <c r="J102" t="s">
        <v>46</v>
      </c>
      <c r="K102" t="s">
        <v>55</v>
      </c>
      <c r="L102" t="s">
        <v>377</v>
      </c>
      <c r="M102" t="s">
        <v>326</v>
      </c>
      <c r="P102" t="s">
        <v>56</v>
      </c>
      <c r="Q102" t="s">
        <v>46</v>
      </c>
      <c r="R102" t="s">
        <v>55</v>
      </c>
      <c r="S102" t="s">
        <v>377</v>
      </c>
    </row>
    <row r="103" spans="1:19" ht="12.75">
      <c r="A103">
        <f t="shared" si="5"/>
      </c>
      <c r="B103">
        <f t="shared" si="6"/>
      </c>
      <c r="I103" t="s">
        <v>58</v>
      </c>
      <c r="J103" t="s">
        <v>46</v>
      </c>
      <c r="K103" t="s">
        <v>1208</v>
      </c>
      <c r="L103" t="s">
        <v>1124</v>
      </c>
      <c r="M103" t="s">
        <v>1367</v>
      </c>
      <c r="P103" t="s">
        <v>58</v>
      </c>
      <c r="Q103" t="s">
        <v>46</v>
      </c>
      <c r="R103" t="s">
        <v>1208</v>
      </c>
      <c r="S103" t="s">
        <v>378</v>
      </c>
    </row>
    <row r="104" spans="1:19" ht="12.75">
      <c r="A104">
        <f t="shared" si="5"/>
      </c>
      <c r="B104">
        <f t="shared" si="6"/>
      </c>
      <c r="I104" t="s">
        <v>59</v>
      </c>
      <c r="J104" t="s">
        <v>46</v>
      </c>
      <c r="K104" t="s">
        <v>1213</v>
      </c>
      <c r="L104" t="s">
        <v>1123</v>
      </c>
      <c r="M104" t="s">
        <v>1368</v>
      </c>
      <c r="P104" t="s">
        <v>59</v>
      </c>
      <c r="Q104" t="s">
        <v>46</v>
      </c>
      <c r="R104" t="s">
        <v>1213</v>
      </c>
      <c r="S104" t="s">
        <v>379</v>
      </c>
    </row>
    <row r="105" spans="1:19" ht="12.75">
      <c r="A105">
        <f t="shared" si="5"/>
      </c>
      <c r="B105">
        <f t="shared" si="6"/>
      </c>
      <c r="I105" t="s">
        <v>60</v>
      </c>
      <c r="J105" t="s">
        <v>46</v>
      </c>
      <c r="K105" t="s">
        <v>1209</v>
      </c>
      <c r="L105" t="s">
        <v>1125</v>
      </c>
      <c r="M105" t="s">
        <v>1367</v>
      </c>
      <c r="P105" t="s">
        <v>60</v>
      </c>
      <c r="Q105" t="s">
        <v>46</v>
      </c>
      <c r="R105" t="s">
        <v>1209</v>
      </c>
      <c r="S105" t="s">
        <v>380</v>
      </c>
    </row>
    <row r="106" spans="1:19" ht="12.75">
      <c r="A106">
        <f t="shared" si="5"/>
      </c>
      <c r="B106">
        <f t="shared" si="6"/>
      </c>
      <c r="I106" t="s">
        <v>61</v>
      </c>
      <c r="J106" t="s">
        <v>46</v>
      </c>
      <c r="K106" t="s">
        <v>1210</v>
      </c>
      <c r="L106" t="s">
        <v>1126</v>
      </c>
      <c r="M106" t="s">
        <v>1367</v>
      </c>
      <c r="P106" t="s">
        <v>61</v>
      </c>
      <c r="Q106" t="s">
        <v>46</v>
      </c>
      <c r="R106" t="s">
        <v>1210</v>
      </c>
      <c r="S106" t="s">
        <v>381</v>
      </c>
    </row>
    <row r="107" spans="1:19" ht="12.75">
      <c r="A107">
        <f t="shared" si="5"/>
      </c>
      <c r="B107">
        <f t="shared" si="6"/>
      </c>
      <c r="I107" t="s">
        <v>330</v>
      </c>
      <c r="P107" t="s">
        <v>23</v>
      </c>
      <c r="Q107" t="s">
        <v>46</v>
      </c>
      <c r="R107" t="s">
        <v>1214</v>
      </c>
      <c r="S107" t="s">
        <v>369</v>
      </c>
    </row>
    <row r="108" spans="1:2" ht="12.75">
      <c r="A108">
        <f t="shared" si="5"/>
      </c>
      <c r="B108">
        <f t="shared" si="6"/>
      </c>
    </row>
    <row r="109" spans="1:10" ht="12.75">
      <c r="A109">
        <f t="shared" si="5"/>
      </c>
      <c r="B109">
        <f t="shared" si="6"/>
      </c>
      <c r="I109" t="s">
        <v>40</v>
      </c>
      <c r="J109" t="s">
        <v>352</v>
      </c>
    </row>
    <row r="110" spans="1:14" ht="12.75">
      <c r="A110">
        <f t="shared" si="5"/>
      </c>
      <c r="B110">
        <f t="shared" si="6"/>
      </c>
      <c r="I110" t="s">
        <v>41</v>
      </c>
      <c r="J110" t="s">
        <v>42</v>
      </c>
      <c r="K110" t="s">
        <v>84</v>
      </c>
      <c r="L110" t="s">
        <v>43</v>
      </c>
      <c r="M110">
        <v>0.5220024</v>
      </c>
      <c r="N110" t="s">
        <v>1251</v>
      </c>
    </row>
    <row r="111" spans="1:10" ht="12.75">
      <c r="A111">
        <f t="shared" si="5"/>
      </c>
      <c r="B111">
        <f t="shared" si="6"/>
      </c>
      <c r="I111" t="s">
        <v>85</v>
      </c>
      <c r="J111" t="s">
        <v>7</v>
      </c>
    </row>
    <row r="112" spans="1:12" ht="12.75">
      <c r="A112">
        <f t="shared" si="5"/>
      </c>
      <c r="B112">
        <f t="shared" si="6"/>
      </c>
      <c r="I112" t="s">
        <v>86</v>
      </c>
      <c r="J112" t="s">
        <v>9</v>
      </c>
      <c r="L112" t="s">
        <v>7</v>
      </c>
    </row>
    <row r="113" spans="1:12" ht="12.75">
      <c r="A113">
        <f t="shared" si="5"/>
      </c>
      <c r="B113">
        <f t="shared" si="6"/>
      </c>
      <c r="I113" t="s">
        <v>10</v>
      </c>
      <c r="J113" t="s">
        <v>11</v>
      </c>
      <c r="L113" t="s">
        <v>12</v>
      </c>
    </row>
    <row r="114" spans="1:10" ht="12.75">
      <c r="A114">
        <f t="shared" si="5"/>
      </c>
      <c r="B114">
        <f t="shared" si="6"/>
      </c>
      <c r="I114" t="s">
        <v>13</v>
      </c>
      <c r="J114" t="s">
        <v>2</v>
      </c>
    </row>
    <row r="115" spans="1:12" ht="12.75">
      <c r="A115">
        <f t="shared" si="5"/>
      </c>
      <c r="B115">
        <f t="shared" si="6"/>
      </c>
      <c r="E115" t="s">
        <v>1164</v>
      </c>
      <c r="F115" t="s">
        <v>1205</v>
      </c>
      <c r="G115" t="s">
        <v>1163</v>
      </c>
      <c r="I115" t="s">
        <v>14</v>
      </c>
      <c r="J115" t="s">
        <v>15</v>
      </c>
      <c r="K115" t="s">
        <v>1205</v>
      </c>
      <c r="L115" t="s">
        <v>15</v>
      </c>
    </row>
    <row r="116" spans="1:10" ht="12.75">
      <c r="A116" t="str">
        <f t="shared" si="5"/>
        <v>THB</v>
      </c>
      <c r="B116" t="str">
        <f t="shared" si="6"/>
        <v>BKK</v>
      </c>
      <c r="C116" t="s">
        <v>1404</v>
      </c>
      <c r="D116">
        <v>1</v>
      </c>
      <c r="E116" t="str">
        <f ca="1">VLOOKUP(E$9&amp;"RWSTAR"&amp;$D116,OFFSET($K116,0,0,MATCH(1,D119:D164,0),2),2,FALSE)</f>
        <v>100930R</v>
      </c>
      <c r="F116" t="str">
        <f ca="1">VLOOKUP(F$9&amp;"RWSTAR"&amp;$D116,OFFSET($K116,0,0,MATCH(1,D119:D164,0),2),2,FALSE)</f>
        <v>201150R</v>
      </c>
      <c r="G116" t="str">
        <f ca="1">VLOOKUP(G$9&amp;"RWSTAR"&amp;$D116,OFFSET($K116,0,0,MATCH(1,D119:D164,0),2),2,FALSE)</f>
        <v>306550R</v>
      </c>
      <c r="I116" t="s">
        <v>1281</v>
      </c>
      <c r="J116" t="s">
        <v>16</v>
      </c>
    </row>
    <row r="117" spans="1:18" ht="12.75">
      <c r="A117">
        <f t="shared" si="5"/>
      </c>
      <c r="B117">
        <f t="shared" si="6"/>
      </c>
      <c r="D117">
        <v>2</v>
      </c>
      <c r="E117" t="str">
        <f ca="1">VLOOKUP(E$9&amp;"RWSTAR"&amp;$D117,OFFSET($K117,0,0,MATCH(1,D119:D164,0),2),2,FALSE)</f>
        <v>116080R</v>
      </c>
      <c r="F117" t="str">
        <f ca="1">VLOOKUP(F$9&amp;"RWSTAR"&amp;$D117,OFFSET($K117,0,0,MATCH(1,D119:D164,0),2),2,FALSE)</f>
        <v>231440R</v>
      </c>
      <c r="G117" t="str">
        <f ca="1">VLOOKUP(G$9&amp;"RWSTAR"&amp;$D117,OFFSET($K117,0,0,MATCH(1,D119:D164,0),2),2,FALSE)</f>
        <v>352350R</v>
      </c>
      <c r="I117" t="s">
        <v>17</v>
      </c>
      <c r="J117" t="s">
        <v>7</v>
      </c>
      <c r="K117" t="s">
        <v>1208</v>
      </c>
      <c r="L117" t="s">
        <v>1048</v>
      </c>
      <c r="Q117" t="s">
        <v>88</v>
      </c>
      <c r="R117" t="s">
        <v>87</v>
      </c>
    </row>
    <row r="118" spans="1:18" ht="12.75">
      <c r="A118">
        <f t="shared" si="5"/>
      </c>
      <c r="B118">
        <f t="shared" si="6"/>
      </c>
      <c r="D118">
        <v>3</v>
      </c>
      <c r="E118" t="str">
        <f ca="1">VLOOKUP(E$9&amp;"RWSTAR"&amp;$D118,OFFSET($K118,0,0,MATCH(1,D119:D164,0),2),2,FALSE)</f>
        <v>136260R</v>
      </c>
      <c r="F118" t="str">
        <f ca="1">VLOOKUP(F$9&amp;"RWSTAR"&amp;$D118,OFFSET($K118,0,0,MATCH(1,D119:D164,0),2),2,FALSE)</f>
        <v>271560R</v>
      </c>
      <c r="G118" t="str">
        <f ca="1">VLOOKUP(G$9&amp;"RWSTAR"&amp;$D118,OFFSET($K118,0,0,MATCH(1,D119:D164,0),2),2,FALSE)</f>
        <v>413660R</v>
      </c>
      <c r="I118" t="s">
        <v>21</v>
      </c>
      <c r="J118" t="s">
        <v>7</v>
      </c>
      <c r="K118" t="s">
        <v>1209</v>
      </c>
      <c r="L118" t="s">
        <v>1049</v>
      </c>
      <c r="Q118" t="s">
        <v>90</v>
      </c>
      <c r="R118" t="s">
        <v>89</v>
      </c>
    </row>
    <row r="119" spans="1:18" ht="12.75">
      <c r="A119">
        <f t="shared" si="5"/>
      </c>
      <c r="B119">
        <f t="shared" si="6"/>
      </c>
      <c r="I119" t="s">
        <v>23</v>
      </c>
      <c r="J119" t="s">
        <v>7</v>
      </c>
      <c r="K119" t="s">
        <v>1210</v>
      </c>
      <c r="L119" t="s">
        <v>1050</v>
      </c>
      <c r="Q119" t="s">
        <v>19</v>
      </c>
      <c r="R119" t="s">
        <v>91</v>
      </c>
    </row>
    <row r="120" spans="1:18" ht="12.75">
      <c r="A120">
        <f t="shared" si="5"/>
      </c>
      <c r="B120">
        <f t="shared" si="6"/>
      </c>
      <c r="E120" t="str">
        <f aca="true" t="shared" si="9" ref="E120:G122">(LEFT(E116,LEN(E116)-1))</f>
        <v>100930</v>
      </c>
      <c r="F120" t="str">
        <f t="shared" si="9"/>
        <v>201150</v>
      </c>
      <c r="G120" t="str">
        <f t="shared" si="9"/>
        <v>306550</v>
      </c>
      <c r="I120" t="s">
        <v>25</v>
      </c>
      <c r="J120" t="s">
        <v>7</v>
      </c>
      <c r="K120" t="s">
        <v>1211</v>
      </c>
      <c r="L120" t="s">
        <v>1051</v>
      </c>
      <c r="Q120" t="s">
        <v>1214</v>
      </c>
      <c r="R120" t="s">
        <v>92</v>
      </c>
    </row>
    <row r="121" spans="1:18" ht="12.75">
      <c r="A121">
        <f t="shared" si="5"/>
      </c>
      <c r="B121">
        <f t="shared" si="6"/>
      </c>
      <c r="E121" t="str">
        <f t="shared" si="9"/>
        <v>116080</v>
      </c>
      <c r="F121" t="str">
        <f t="shared" si="9"/>
        <v>231440</v>
      </c>
      <c r="G121" t="str">
        <f t="shared" si="9"/>
        <v>352350</v>
      </c>
      <c r="I121" t="s">
        <v>27</v>
      </c>
      <c r="J121" t="s">
        <v>7</v>
      </c>
      <c r="K121" t="s">
        <v>1212</v>
      </c>
      <c r="L121" t="s">
        <v>1052</v>
      </c>
      <c r="Q121" t="s">
        <v>1215</v>
      </c>
      <c r="R121" t="s">
        <v>93</v>
      </c>
    </row>
    <row r="122" spans="1:18" ht="12.75">
      <c r="A122">
        <f t="shared" si="5"/>
      </c>
      <c r="B122">
        <f t="shared" si="6"/>
      </c>
      <c r="E122" t="str">
        <f t="shared" si="9"/>
        <v>136260</v>
      </c>
      <c r="F122" t="str">
        <f t="shared" si="9"/>
        <v>271560</v>
      </c>
      <c r="G122" t="str">
        <f t="shared" si="9"/>
        <v>413660</v>
      </c>
      <c r="I122" t="s">
        <v>29</v>
      </c>
      <c r="J122" t="s">
        <v>7</v>
      </c>
      <c r="K122" t="s">
        <v>1213</v>
      </c>
      <c r="L122" t="s">
        <v>1053</v>
      </c>
      <c r="Q122" t="s">
        <v>95</v>
      </c>
      <c r="R122" t="s">
        <v>94</v>
      </c>
    </row>
    <row r="123" spans="1:18" ht="12.75">
      <c r="A123">
        <f t="shared" si="5"/>
      </c>
      <c r="B123">
        <f t="shared" si="6"/>
      </c>
      <c r="I123" t="s">
        <v>31</v>
      </c>
      <c r="J123" t="s">
        <v>7</v>
      </c>
      <c r="K123" t="s">
        <v>1214</v>
      </c>
      <c r="L123" t="s">
        <v>1054</v>
      </c>
      <c r="Q123" t="s">
        <v>1216</v>
      </c>
      <c r="R123" t="s">
        <v>96</v>
      </c>
    </row>
    <row r="124" spans="1:18" ht="12.75">
      <c r="A124">
        <f t="shared" si="5"/>
      </c>
      <c r="B124">
        <f t="shared" si="6"/>
      </c>
      <c r="I124" t="s">
        <v>33</v>
      </c>
      <c r="J124" t="s">
        <v>7</v>
      </c>
      <c r="K124" t="s">
        <v>1215</v>
      </c>
      <c r="L124" t="s">
        <v>1055</v>
      </c>
      <c r="Q124" t="s">
        <v>98</v>
      </c>
      <c r="R124" t="s">
        <v>97</v>
      </c>
    </row>
    <row r="125" spans="1:18" ht="12.75">
      <c r="A125">
        <f t="shared" si="5"/>
      </c>
      <c r="B125">
        <f t="shared" si="6"/>
      </c>
      <c r="I125" t="s">
        <v>35</v>
      </c>
      <c r="J125" t="s">
        <v>7</v>
      </c>
      <c r="K125" t="s">
        <v>1216</v>
      </c>
      <c r="L125" t="s">
        <v>1056</v>
      </c>
      <c r="Q125" t="s">
        <v>100</v>
      </c>
      <c r="R125" t="s">
        <v>99</v>
      </c>
    </row>
    <row r="126" spans="1:18" ht="12.75">
      <c r="A126">
        <f t="shared" si="5"/>
      </c>
      <c r="B126">
        <f t="shared" si="6"/>
      </c>
      <c r="I126" t="s">
        <v>37</v>
      </c>
      <c r="J126" t="s">
        <v>7</v>
      </c>
      <c r="Q126" t="s">
        <v>1211</v>
      </c>
      <c r="R126" t="s">
        <v>101</v>
      </c>
    </row>
    <row r="127" spans="1:18" ht="12.75">
      <c r="A127">
        <f t="shared" si="5"/>
      </c>
      <c r="B127">
        <f t="shared" si="6"/>
      </c>
      <c r="I127" t="s">
        <v>56</v>
      </c>
      <c r="J127" t="s">
        <v>7</v>
      </c>
      <c r="Q127" t="s">
        <v>103</v>
      </c>
      <c r="R127" t="s">
        <v>102</v>
      </c>
    </row>
    <row r="128" spans="1:18" ht="12.75">
      <c r="A128">
        <f t="shared" si="5"/>
      </c>
      <c r="B128">
        <f t="shared" si="6"/>
      </c>
      <c r="I128" t="s">
        <v>58</v>
      </c>
      <c r="J128" t="s">
        <v>7</v>
      </c>
      <c r="Q128" t="s">
        <v>1212</v>
      </c>
      <c r="R128" t="s">
        <v>104</v>
      </c>
    </row>
    <row r="129" spans="1:18" ht="12.75">
      <c r="A129">
        <f t="shared" si="5"/>
      </c>
      <c r="B129">
        <f t="shared" si="6"/>
      </c>
      <c r="I129" t="s">
        <v>59</v>
      </c>
      <c r="J129" t="s">
        <v>7</v>
      </c>
      <c r="Q129" t="s">
        <v>1213</v>
      </c>
      <c r="R129" t="s">
        <v>105</v>
      </c>
    </row>
    <row r="130" spans="1:18" ht="12.75">
      <c r="A130">
        <f t="shared" si="5"/>
      </c>
      <c r="B130">
        <f t="shared" si="6"/>
      </c>
      <c r="I130" t="s">
        <v>60</v>
      </c>
      <c r="J130" t="s">
        <v>7</v>
      </c>
      <c r="Q130" t="s">
        <v>1208</v>
      </c>
      <c r="R130" t="s">
        <v>106</v>
      </c>
    </row>
    <row r="131" spans="1:18" ht="12.75">
      <c r="A131">
        <f t="shared" si="5"/>
      </c>
      <c r="B131">
        <f t="shared" si="6"/>
      </c>
      <c r="I131" t="s">
        <v>61</v>
      </c>
      <c r="J131" t="s">
        <v>7</v>
      </c>
      <c r="Q131" t="s">
        <v>1209</v>
      </c>
      <c r="R131" t="s">
        <v>107</v>
      </c>
    </row>
    <row r="132" spans="1:18" ht="12.75">
      <c r="A132">
        <f t="shared" si="5"/>
      </c>
      <c r="B132">
        <f t="shared" si="6"/>
      </c>
      <c r="I132" t="s">
        <v>62</v>
      </c>
      <c r="J132" t="s">
        <v>7</v>
      </c>
      <c r="Q132" t="s">
        <v>1210</v>
      </c>
      <c r="R132" t="s">
        <v>108</v>
      </c>
    </row>
    <row r="133" spans="1:18" ht="12.75">
      <c r="A133">
        <f t="shared" si="5"/>
      </c>
      <c r="B133">
        <f t="shared" si="6"/>
      </c>
      <c r="I133" t="s">
        <v>25</v>
      </c>
      <c r="J133" t="s">
        <v>7</v>
      </c>
      <c r="M133" t="s">
        <v>39</v>
      </c>
      <c r="Q133" t="s">
        <v>1214</v>
      </c>
      <c r="R133" t="s">
        <v>92</v>
      </c>
    </row>
    <row r="134" spans="1:2" ht="12.75">
      <c r="A134">
        <f t="shared" si="5"/>
      </c>
      <c r="B134">
        <f t="shared" si="6"/>
      </c>
    </row>
    <row r="135" spans="1:10" ht="12.75">
      <c r="A135">
        <f t="shared" si="5"/>
      </c>
      <c r="B135">
        <f t="shared" si="6"/>
      </c>
      <c r="I135" t="s">
        <v>40</v>
      </c>
      <c r="J135" t="s">
        <v>353</v>
      </c>
    </row>
    <row r="136" spans="1:14" ht="12.75">
      <c r="A136">
        <f t="shared" si="5"/>
      </c>
      <c r="B136">
        <f t="shared" si="6"/>
      </c>
      <c r="I136" t="s">
        <v>41</v>
      </c>
      <c r="J136" t="s">
        <v>42</v>
      </c>
      <c r="K136" t="s">
        <v>109</v>
      </c>
      <c r="L136" t="s">
        <v>43</v>
      </c>
      <c r="M136">
        <v>0.0261097</v>
      </c>
      <c r="N136" t="s">
        <v>1251</v>
      </c>
    </row>
    <row r="137" spans="1:10" ht="12.75">
      <c r="A137">
        <f t="shared" si="5"/>
      </c>
      <c r="B137">
        <f t="shared" si="6"/>
      </c>
      <c r="I137" t="s">
        <v>110</v>
      </c>
      <c r="J137" t="s">
        <v>7</v>
      </c>
    </row>
    <row r="138" spans="1:12" ht="12.75">
      <c r="A138">
        <f t="shared" si="5"/>
      </c>
      <c r="B138">
        <f t="shared" si="6"/>
      </c>
      <c r="I138" t="s">
        <v>111</v>
      </c>
      <c r="J138" t="s">
        <v>9</v>
      </c>
      <c r="L138" t="s">
        <v>7</v>
      </c>
    </row>
    <row r="139" spans="1:12" ht="12.75">
      <c r="A139">
        <f aca="true" t="shared" si="10" ref="A139:A202">IF(J139="BASIS",I139,"")</f>
      </c>
      <c r="B139">
        <f aca="true" t="shared" si="11" ref="B139:B202">IF(A139&lt;&gt;"",LEFT(I135,3),"")</f>
      </c>
      <c r="I139" t="s">
        <v>10</v>
      </c>
      <c r="J139" t="s">
        <v>11</v>
      </c>
      <c r="L139" t="s">
        <v>12</v>
      </c>
    </row>
    <row r="140" spans="1:10" ht="12.75">
      <c r="A140">
        <f t="shared" si="10"/>
      </c>
      <c r="B140">
        <f t="shared" si="11"/>
      </c>
      <c r="I140" t="s">
        <v>13</v>
      </c>
      <c r="J140" t="s">
        <v>2</v>
      </c>
    </row>
    <row r="141" spans="1:12" ht="12.75">
      <c r="A141">
        <f t="shared" si="10"/>
      </c>
      <c r="B141">
        <f t="shared" si="11"/>
      </c>
      <c r="E141" t="s">
        <v>1164</v>
      </c>
      <c r="F141" t="s">
        <v>1205</v>
      </c>
      <c r="G141" t="s">
        <v>1163</v>
      </c>
      <c r="I141" t="s">
        <v>14</v>
      </c>
      <c r="J141" t="s">
        <v>15</v>
      </c>
      <c r="K141" t="s">
        <v>1205</v>
      </c>
      <c r="L141" t="s">
        <v>15</v>
      </c>
    </row>
    <row r="142" spans="1:10" ht="12.75">
      <c r="A142" t="str">
        <f t="shared" si="10"/>
        <v>MYR</v>
      </c>
      <c r="B142" t="str">
        <f t="shared" si="11"/>
        <v>KUL</v>
      </c>
      <c r="C142" t="s">
        <v>1398</v>
      </c>
      <c r="D142">
        <v>1</v>
      </c>
      <c r="E142" t="str">
        <f ca="1">VLOOKUP(E$9&amp;"RWSTAR"&amp;$D142,OFFSET($K142,0,0,MATCH(1,D145:D190,0),2),2,FALSE)</f>
        <v>11320R</v>
      </c>
      <c r="F142" t="str">
        <f ca="1">VLOOKUP(F$9&amp;"RWSTAR"&amp;$D142,OFFSET($K142,0,0,MATCH(1,D145:D190,0),2),2,FALSE)</f>
        <v>22880R</v>
      </c>
      <c r="G142" t="str">
        <f ca="1">VLOOKUP(G$9&amp;"RWSTAR"&amp;$D142,OFFSET($K142,0,0,MATCH(1,D145:D190,0),2),2,FALSE)</f>
        <v>33890R</v>
      </c>
      <c r="I142" t="s">
        <v>1275</v>
      </c>
      <c r="J142" t="s">
        <v>16</v>
      </c>
    </row>
    <row r="143" spans="1:19" ht="12.75">
      <c r="A143">
        <f t="shared" si="10"/>
      </c>
      <c r="B143">
        <f t="shared" si="11"/>
      </c>
      <c r="D143">
        <v>2</v>
      </c>
      <c r="E143" t="str">
        <f ca="1">VLOOKUP(E$9&amp;"RWSTAR"&amp;$D143,OFFSET($K143,0,0,MATCH(1,D145:D190,0),2),2,FALSE)</f>
        <v>13030R</v>
      </c>
      <c r="F143" t="str">
        <f ca="1">VLOOKUP(F$9&amp;"RWSTAR"&amp;$D143,OFFSET($K143,0,0,MATCH(1,D145:D190,0),2),2,FALSE)</f>
        <v>26340R</v>
      </c>
      <c r="G143" t="str">
        <f ca="1">VLOOKUP(G$9&amp;"RWSTAR"&amp;$D143,OFFSET($K143,0,0,MATCH(1,D145:D190,0),2),2,FALSE)</f>
        <v>39050R</v>
      </c>
      <c r="I143" t="s">
        <v>17</v>
      </c>
      <c r="J143" t="s">
        <v>7</v>
      </c>
      <c r="K143" t="s">
        <v>88</v>
      </c>
      <c r="L143" t="s">
        <v>382</v>
      </c>
      <c r="M143" t="s">
        <v>20</v>
      </c>
      <c r="Q143" t="s">
        <v>7</v>
      </c>
      <c r="R143" t="s">
        <v>88</v>
      </c>
      <c r="S143" t="s">
        <v>382</v>
      </c>
    </row>
    <row r="144" spans="1:19" ht="12.75">
      <c r="A144">
        <f t="shared" si="10"/>
      </c>
      <c r="B144">
        <f t="shared" si="11"/>
      </c>
      <c r="D144">
        <v>3</v>
      </c>
      <c r="E144" t="str">
        <f ca="1">VLOOKUP(E$9&amp;"RWSTAR"&amp;$D144,OFFSET($K144,0,0,MATCH(1,D145:D190,0),2),2,FALSE)</f>
        <v>15250R</v>
      </c>
      <c r="F144" t="str">
        <f ca="1">VLOOKUP(F$9&amp;"RWSTAR"&amp;$D144,OFFSET($K144,0,0,MATCH(1,D145:D190,0),2),2,FALSE)</f>
        <v>30960R</v>
      </c>
      <c r="G144" t="str">
        <f ca="1">VLOOKUP(G$9&amp;"RWSTAR"&amp;$D144,OFFSET($K144,0,0,MATCH(1,D145:D190,0),2),2,FALSE)</f>
        <v>45750R</v>
      </c>
      <c r="I144" t="s">
        <v>21</v>
      </c>
      <c r="J144" t="s">
        <v>7</v>
      </c>
      <c r="K144" t="s">
        <v>90</v>
      </c>
      <c r="L144" t="s">
        <v>383</v>
      </c>
      <c r="M144" t="s">
        <v>20</v>
      </c>
      <c r="Q144" t="s">
        <v>7</v>
      </c>
      <c r="R144" t="s">
        <v>90</v>
      </c>
      <c r="S144" t="s">
        <v>383</v>
      </c>
    </row>
    <row r="145" spans="1:19" ht="12.75">
      <c r="A145">
        <f t="shared" si="10"/>
      </c>
      <c r="B145">
        <f t="shared" si="11"/>
      </c>
      <c r="I145" t="s">
        <v>23</v>
      </c>
      <c r="J145" t="s">
        <v>7</v>
      </c>
      <c r="K145" t="s">
        <v>19</v>
      </c>
      <c r="L145" t="s">
        <v>265</v>
      </c>
      <c r="M145" t="s">
        <v>20</v>
      </c>
      <c r="Q145" t="s">
        <v>7</v>
      </c>
      <c r="R145" t="s">
        <v>19</v>
      </c>
      <c r="S145" t="s">
        <v>384</v>
      </c>
    </row>
    <row r="146" spans="1:19" ht="12.75">
      <c r="A146">
        <f t="shared" si="10"/>
      </c>
      <c r="B146">
        <f t="shared" si="11"/>
      </c>
      <c r="E146" t="str">
        <f aca="true" t="shared" si="12" ref="E146:G148">(LEFT(E142,LEN(E142)-1))</f>
        <v>11320</v>
      </c>
      <c r="F146" t="str">
        <f t="shared" si="12"/>
        <v>22880</v>
      </c>
      <c r="G146" t="str">
        <f t="shared" si="12"/>
        <v>33890</v>
      </c>
      <c r="I146" t="s">
        <v>25</v>
      </c>
      <c r="J146" t="s">
        <v>7</v>
      </c>
      <c r="K146" t="s">
        <v>95</v>
      </c>
      <c r="L146" t="s">
        <v>386</v>
      </c>
      <c r="M146" t="s">
        <v>1368</v>
      </c>
      <c r="Q146" t="s">
        <v>7</v>
      </c>
      <c r="R146" t="s">
        <v>1214</v>
      </c>
      <c r="S146" t="s">
        <v>385</v>
      </c>
    </row>
    <row r="147" spans="1:19" ht="12.75">
      <c r="A147">
        <f t="shared" si="10"/>
      </c>
      <c r="B147">
        <f t="shared" si="11"/>
      </c>
      <c r="E147" t="str">
        <f t="shared" si="12"/>
        <v>13030</v>
      </c>
      <c r="F147" t="str">
        <f t="shared" si="12"/>
        <v>26340</v>
      </c>
      <c r="G147" t="str">
        <f t="shared" si="12"/>
        <v>39050</v>
      </c>
      <c r="I147" t="s">
        <v>27</v>
      </c>
      <c r="J147" t="s">
        <v>7</v>
      </c>
      <c r="K147" t="s">
        <v>1214</v>
      </c>
      <c r="L147" t="s">
        <v>266</v>
      </c>
      <c r="M147" t="s">
        <v>327</v>
      </c>
      <c r="Q147" t="s">
        <v>7</v>
      </c>
      <c r="R147" t="s">
        <v>95</v>
      </c>
      <c r="S147" t="s">
        <v>386</v>
      </c>
    </row>
    <row r="148" spans="1:19" ht="12.75">
      <c r="A148">
        <f t="shared" si="10"/>
      </c>
      <c r="B148">
        <f t="shared" si="11"/>
      </c>
      <c r="E148" t="str">
        <f t="shared" si="12"/>
        <v>15250</v>
      </c>
      <c r="F148" t="str">
        <f t="shared" si="12"/>
        <v>30960</v>
      </c>
      <c r="G148" t="str">
        <f t="shared" si="12"/>
        <v>45750</v>
      </c>
      <c r="I148" t="s">
        <v>29</v>
      </c>
      <c r="J148" t="s">
        <v>7</v>
      </c>
      <c r="K148" t="s">
        <v>98</v>
      </c>
      <c r="L148" t="s">
        <v>388</v>
      </c>
      <c r="M148" t="s">
        <v>1368</v>
      </c>
      <c r="Q148" t="s">
        <v>7</v>
      </c>
      <c r="R148" t="s">
        <v>1215</v>
      </c>
      <c r="S148" t="s">
        <v>387</v>
      </c>
    </row>
    <row r="149" spans="1:19" ht="12.75">
      <c r="A149">
        <f t="shared" si="10"/>
      </c>
      <c r="B149">
        <f t="shared" si="11"/>
      </c>
      <c r="I149" t="s">
        <v>31</v>
      </c>
      <c r="J149" t="s">
        <v>7</v>
      </c>
      <c r="K149" t="s">
        <v>1215</v>
      </c>
      <c r="L149" t="s">
        <v>267</v>
      </c>
      <c r="M149" t="s">
        <v>327</v>
      </c>
      <c r="Q149" t="s">
        <v>7</v>
      </c>
      <c r="R149" t="s">
        <v>98</v>
      </c>
      <c r="S149" t="s">
        <v>388</v>
      </c>
    </row>
    <row r="150" spans="1:19" ht="12.75">
      <c r="A150">
        <f t="shared" si="10"/>
      </c>
      <c r="B150">
        <f t="shared" si="11"/>
      </c>
      <c r="I150" t="s">
        <v>33</v>
      </c>
      <c r="J150" t="s">
        <v>7</v>
      </c>
      <c r="K150" t="s">
        <v>1216</v>
      </c>
      <c r="L150" t="s">
        <v>268</v>
      </c>
      <c r="M150" t="s">
        <v>327</v>
      </c>
      <c r="Q150" t="s">
        <v>7</v>
      </c>
      <c r="R150" t="s">
        <v>1216</v>
      </c>
      <c r="S150" t="s">
        <v>389</v>
      </c>
    </row>
    <row r="151" spans="1:19" ht="12.75">
      <c r="A151">
        <f t="shared" si="10"/>
      </c>
      <c r="B151">
        <f t="shared" si="11"/>
      </c>
      <c r="I151" t="s">
        <v>35</v>
      </c>
      <c r="J151" t="s">
        <v>7</v>
      </c>
      <c r="K151" t="s">
        <v>100</v>
      </c>
      <c r="L151" t="s">
        <v>390</v>
      </c>
      <c r="M151" t="s">
        <v>1367</v>
      </c>
      <c r="Q151" t="s">
        <v>7</v>
      </c>
      <c r="R151" t="s">
        <v>100</v>
      </c>
      <c r="S151" t="s">
        <v>390</v>
      </c>
    </row>
    <row r="152" spans="1:19" ht="12.75">
      <c r="A152">
        <f t="shared" si="10"/>
      </c>
      <c r="B152">
        <f t="shared" si="11"/>
      </c>
      <c r="I152" t="s">
        <v>37</v>
      </c>
      <c r="J152" t="s">
        <v>7</v>
      </c>
      <c r="K152" t="s">
        <v>103</v>
      </c>
      <c r="L152" t="s">
        <v>391</v>
      </c>
      <c r="M152" t="s">
        <v>1367</v>
      </c>
      <c r="Q152" t="s">
        <v>7</v>
      </c>
      <c r="R152" t="s">
        <v>103</v>
      </c>
      <c r="S152" t="s">
        <v>391</v>
      </c>
    </row>
    <row r="153" spans="1:19" ht="12.75">
      <c r="A153">
        <f t="shared" si="10"/>
      </c>
      <c r="B153">
        <f t="shared" si="11"/>
      </c>
      <c r="I153" t="s">
        <v>56</v>
      </c>
      <c r="J153" t="s">
        <v>7</v>
      </c>
      <c r="K153" t="s">
        <v>1211</v>
      </c>
      <c r="L153" t="s">
        <v>269</v>
      </c>
      <c r="M153" t="s">
        <v>1368</v>
      </c>
      <c r="Q153" t="s">
        <v>7</v>
      </c>
      <c r="R153" t="s">
        <v>1211</v>
      </c>
      <c r="S153" t="s">
        <v>1755</v>
      </c>
    </row>
    <row r="154" spans="1:19" ht="12.75">
      <c r="A154">
        <f t="shared" si="10"/>
      </c>
      <c r="B154">
        <f t="shared" si="11"/>
      </c>
      <c r="I154" t="s">
        <v>58</v>
      </c>
      <c r="J154" t="s">
        <v>7</v>
      </c>
      <c r="K154" t="s">
        <v>1212</v>
      </c>
      <c r="L154" t="s">
        <v>270</v>
      </c>
      <c r="M154" t="s">
        <v>1368</v>
      </c>
      <c r="Q154" t="s">
        <v>7</v>
      </c>
      <c r="R154" t="s">
        <v>1212</v>
      </c>
      <c r="S154" t="s">
        <v>392</v>
      </c>
    </row>
    <row r="155" spans="1:19" ht="12.75">
      <c r="A155">
        <f t="shared" si="10"/>
      </c>
      <c r="B155">
        <f t="shared" si="11"/>
      </c>
      <c r="I155" t="s">
        <v>59</v>
      </c>
      <c r="J155" t="s">
        <v>7</v>
      </c>
      <c r="K155" t="s">
        <v>1213</v>
      </c>
      <c r="L155" t="s">
        <v>271</v>
      </c>
      <c r="M155" t="s">
        <v>1368</v>
      </c>
      <c r="Q155" t="s">
        <v>7</v>
      </c>
      <c r="R155" t="s">
        <v>1213</v>
      </c>
      <c r="S155" t="s">
        <v>1756</v>
      </c>
    </row>
    <row r="156" spans="1:19" ht="12.75">
      <c r="A156">
        <f t="shared" si="10"/>
      </c>
      <c r="B156">
        <f t="shared" si="11"/>
      </c>
      <c r="I156" t="s">
        <v>60</v>
      </c>
      <c r="J156" t="s">
        <v>7</v>
      </c>
      <c r="K156" t="s">
        <v>1208</v>
      </c>
      <c r="L156" t="s">
        <v>272</v>
      </c>
      <c r="M156" t="s">
        <v>1367</v>
      </c>
      <c r="Q156" t="s">
        <v>7</v>
      </c>
      <c r="R156" t="s">
        <v>1208</v>
      </c>
      <c r="S156" t="s">
        <v>393</v>
      </c>
    </row>
    <row r="157" spans="1:19" ht="12.75">
      <c r="A157">
        <f t="shared" si="10"/>
      </c>
      <c r="B157">
        <f t="shared" si="11"/>
      </c>
      <c r="I157" t="s">
        <v>61</v>
      </c>
      <c r="J157" t="s">
        <v>7</v>
      </c>
      <c r="K157" t="s">
        <v>1209</v>
      </c>
      <c r="L157" t="s">
        <v>273</v>
      </c>
      <c r="M157" t="s">
        <v>1367</v>
      </c>
      <c r="Q157" t="s">
        <v>7</v>
      </c>
      <c r="R157" t="s">
        <v>1209</v>
      </c>
      <c r="S157" t="s">
        <v>394</v>
      </c>
    </row>
    <row r="158" spans="1:19" ht="12.75">
      <c r="A158">
        <f t="shared" si="10"/>
      </c>
      <c r="B158">
        <f t="shared" si="11"/>
      </c>
      <c r="I158" t="s">
        <v>62</v>
      </c>
      <c r="J158" t="s">
        <v>7</v>
      </c>
      <c r="K158" t="s">
        <v>1210</v>
      </c>
      <c r="L158" t="s">
        <v>274</v>
      </c>
      <c r="M158" t="s">
        <v>1367</v>
      </c>
      <c r="Q158" t="s">
        <v>7</v>
      </c>
      <c r="R158" t="s">
        <v>1210</v>
      </c>
      <c r="S158" t="s">
        <v>395</v>
      </c>
    </row>
    <row r="159" spans="1:19" ht="12.75">
      <c r="A159">
        <f t="shared" si="10"/>
      </c>
      <c r="B159">
        <f t="shared" si="11"/>
      </c>
      <c r="Q159" t="s">
        <v>7</v>
      </c>
      <c r="R159" t="s">
        <v>1214</v>
      </c>
      <c r="S159" t="s">
        <v>385</v>
      </c>
    </row>
    <row r="160" spans="1:2" ht="12.75">
      <c r="A160">
        <f t="shared" si="10"/>
      </c>
      <c r="B160">
        <f t="shared" si="11"/>
      </c>
    </row>
    <row r="161" spans="1:10" ht="12.75">
      <c r="A161">
        <f t="shared" si="10"/>
      </c>
      <c r="B161">
        <f t="shared" si="11"/>
      </c>
      <c r="I161" t="s">
        <v>40</v>
      </c>
      <c r="J161" t="s">
        <v>354</v>
      </c>
    </row>
    <row r="162" spans="1:18" ht="12.75">
      <c r="A162">
        <f t="shared" si="10"/>
      </c>
      <c r="B162">
        <f t="shared" si="11"/>
      </c>
      <c r="I162" t="s">
        <v>41</v>
      </c>
      <c r="J162" t="s">
        <v>42</v>
      </c>
      <c r="K162" t="s">
        <v>112</v>
      </c>
      <c r="L162" t="s">
        <v>43</v>
      </c>
      <c r="M162">
        <v>0.2631995</v>
      </c>
      <c r="N162" t="s">
        <v>1251</v>
      </c>
      <c r="O162" t="s">
        <v>113</v>
      </c>
      <c r="P162" s="53">
        <v>0.03</v>
      </c>
      <c r="Q162" t="s">
        <v>114</v>
      </c>
      <c r="R162" t="s">
        <v>115</v>
      </c>
    </row>
    <row r="163" spans="1:10" ht="12.75">
      <c r="A163">
        <f t="shared" si="10"/>
      </c>
      <c r="B163">
        <f t="shared" si="11"/>
      </c>
      <c r="I163" t="s">
        <v>116</v>
      </c>
      <c r="J163" t="s">
        <v>7</v>
      </c>
    </row>
    <row r="164" spans="1:12" ht="12.75">
      <c r="A164">
        <f t="shared" si="10"/>
      </c>
      <c r="B164">
        <f t="shared" si="11"/>
      </c>
      <c r="I164" t="s">
        <v>117</v>
      </c>
      <c r="J164" t="s">
        <v>9</v>
      </c>
      <c r="L164" t="s">
        <v>7</v>
      </c>
    </row>
    <row r="165" spans="1:12" ht="12.75">
      <c r="A165">
        <f t="shared" si="10"/>
      </c>
      <c r="B165">
        <f t="shared" si="11"/>
      </c>
      <c r="I165" t="s">
        <v>10</v>
      </c>
      <c r="J165" t="s">
        <v>11</v>
      </c>
      <c r="L165" t="s">
        <v>12</v>
      </c>
    </row>
    <row r="166" spans="1:10" ht="12.75">
      <c r="A166">
        <f t="shared" si="10"/>
      </c>
      <c r="B166">
        <f t="shared" si="11"/>
      </c>
      <c r="I166" t="s">
        <v>13</v>
      </c>
      <c r="J166" t="s">
        <v>2</v>
      </c>
    </row>
    <row r="167" spans="1:12" ht="12.75">
      <c r="A167">
        <f t="shared" si="10"/>
      </c>
      <c r="B167">
        <f t="shared" si="11"/>
      </c>
      <c r="E167" t="s">
        <v>1164</v>
      </c>
      <c r="F167" t="s">
        <v>1205</v>
      </c>
      <c r="G167" t="s">
        <v>1163</v>
      </c>
      <c r="I167" t="s">
        <v>14</v>
      </c>
      <c r="J167" t="s">
        <v>15</v>
      </c>
      <c r="K167" t="s">
        <v>1205</v>
      </c>
      <c r="L167" t="s">
        <v>15</v>
      </c>
    </row>
    <row r="168" spans="1:10" ht="12.75">
      <c r="A168" t="str">
        <f t="shared" si="10"/>
        <v>USD</v>
      </c>
      <c r="B168" t="str">
        <f t="shared" si="11"/>
        <v>JKT</v>
      </c>
      <c r="C168" t="s">
        <v>1395</v>
      </c>
      <c r="D168">
        <v>1</v>
      </c>
      <c r="E168" t="str">
        <f ca="1">VLOOKUP(E$9&amp;"RWSTAR"&amp;$D168,OFFSET($K168,0,0,MATCH(1,D171:D216,0),2),2,FALSE)</f>
        <v>2889R</v>
      </c>
      <c r="F168" t="str">
        <f ca="1">VLOOKUP(F$9&amp;"RWSTAR"&amp;$D168,OFFSET($K168,0,0,MATCH(1,D171:D216,0),2),2,FALSE)</f>
        <v>5409R</v>
      </c>
      <c r="G168" t="str">
        <f ca="1">VLOOKUP(G$9&amp;"RWSTAR"&amp;$D168,OFFSET($K168,0,0,MATCH(1,D171:D216,0),2),2,FALSE)</f>
        <v>7479R</v>
      </c>
      <c r="I168" t="s">
        <v>1251</v>
      </c>
      <c r="J168" t="s">
        <v>16</v>
      </c>
    </row>
    <row r="169" spans="1:19" ht="12.75">
      <c r="A169">
        <f t="shared" si="10"/>
      </c>
      <c r="B169">
        <f t="shared" si="11"/>
      </c>
      <c r="D169">
        <v>2</v>
      </c>
      <c r="E169" t="str">
        <f ca="1">VLOOKUP(E$9&amp;"RWSTAR"&amp;$D169,OFFSET($K169,0,0,MATCH(1,D171:D216,0),2),2,FALSE)</f>
        <v>3319R</v>
      </c>
      <c r="F169" t="str">
        <f ca="1">VLOOKUP(F$9&amp;"RWSTAR"&amp;$D169,OFFSET($K169,0,0,MATCH(1,D171:D216,0),2),2,FALSE)</f>
        <v>6239R</v>
      </c>
      <c r="G169" t="str">
        <f ca="1">VLOOKUP(G$9&amp;"RWSTAR"&amp;$D169,OFFSET($K169,0,0,MATCH(1,D171:D216,0),2),2,FALSE)</f>
        <v>8639R</v>
      </c>
      <c r="I169" t="s">
        <v>17</v>
      </c>
      <c r="J169" t="s">
        <v>7</v>
      </c>
      <c r="K169" t="s">
        <v>88</v>
      </c>
      <c r="L169" t="s">
        <v>396</v>
      </c>
      <c r="M169" t="s">
        <v>20</v>
      </c>
      <c r="Q169" t="s">
        <v>7</v>
      </c>
      <c r="R169" t="s">
        <v>88</v>
      </c>
      <c r="S169" t="s">
        <v>396</v>
      </c>
    </row>
    <row r="170" spans="1:19" ht="12.75">
      <c r="A170">
        <f t="shared" si="10"/>
      </c>
      <c r="B170">
        <f t="shared" si="11"/>
      </c>
      <c r="D170">
        <v>3</v>
      </c>
      <c r="E170" t="str">
        <f ca="1">VLOOKUP(E$9&amp;"RWSTAR"&amp;$D170,OFFSET($K170,0,0,MATCH(1,D171:D216,0),2),2,FALSE)</f>
        <v>3899R</v>
      </c>
      <c r="F170" t="str">
        <f ca="1">VLOOKUP(F$9&amp;"RWSTAR"&amp;$D170,OFFSET($K170,0,0,MATCH(1,D171:D216,0),2),2,FALSE)</f>
        <v>7329R</v>
      </c>
      <c r="G170" t="str">
        <f ca="1">VLOOKUP(G$9&amp;"RWSTAR"&amp;$D170,OFFSET($K170,0,0,MATCH(1,D171:D216,0),2),2,FALSE)</f>
        <v>10159R</v>
      </c>
      <c r="I170" t="s">
        <v>21</v>
      </c>
      <c r="J170" t="s">
        <v>7</v>
      </c>
      <c r="K170" t="s">
        <v>90</v>
      </c>
      <c r="L170" t="s">
        <v>397</v>
      </c>
      <c r="M170" t="s">
        <v>20</v>
      </c>
      <c r="Q170" t="s">
        <v>7</v>
      </c>
      <c r="R170" t="s">
        <v>90</v>
      </c>
      <c r="S170" t="s">
        <v>397</v>
      </c>
    </row>
    <row r="171" spans="1:19" ht="12.75">
      <c r="A171">
        <f t="shared" si="10"/>
      </c>
      <c r="B171">
        <f t="shared" si="11"/>
      </c>
      <c r="I171" t="s">
        <v>23</v>
      </c>
      <c r="J171" t="s">
        <v>7</v>
      </c>
      <c r="K171" t="s">
        <v>19</v>
      </c>
      <c r="L171" t="s">
        <v>355</v>
      </c>
      <c r="M171" t="s">
        <v>20</v>
      </c>
      <c r="Q171" t="s">
        <v>7</v>
      </c>
      <c r="R171" t="s">
        <v>19</v>
      </c>
      <c r="S171" t="s">
        <v>398</v>
      </c>
    </row>
    <row r="172" spans="1:19" ht="12.75">
      <c r="A172">
        <f t="shared" si="10"/>
      </c>
      <c r="B172">
        <f t="shared" si="11"/>
      </c>
      <c r="E172" t="str">
        <f aca="true" t="shared" si="13" ref="E172:G174">(LEFT(E168,LEN(E168)-1))</f>
        <v>2889</v>
      </c>
      <c r="F172" t="str">
        <f t="shared" si="13"/>
        <v>5409</v>
      </c>
      <c r="G172" t="str">
        <f t="shared" si="13"/>
        <v>7479</v>
      </c>
      <c r="I172" t="s">
        <v>25</v>
      </c>
      <c r="J172" t="s">
        <v>7</v>
      </c>
      <c r="K172" t="s">
        <v>1214</v>
      </c>
      <c r="L172" t="s">
        <v>511</v>
      </c>
      <c r="M172" t="s">
        <v>327</v>
      </c>
      <c r="Q172" t="s">
        <v>7</v>
      </c>
      <c r="R172" t="s">
        <v>1214</v>
      </c>
      <c r="S172" t="s">
        <v>399</v>
      </c>
    </row>
    <row r="173" spans="1:19" ht="12.75">
      <c r="A173">
        <f t="shared" si="10"/>
      </c>
      <c r="B173">
        <f t="shared" si="11"/>
      </c>
      <c r="E173" t="str">
        <f t="shared" si="13"/>
        <v>3319</v>
      </c>
      <c r="F173" t="str">
        <f t="shared" si="13"/>
        <v>6239</v>
      </c>
      <c r="G173" t="str">
        <f t="shared" si="13"/>
        <v>8639</v>
      </c>
      <c r="I173" t="s">
        <v>27</v>
      </c>
      <c r="J173" t="s">
        <v>7</v>
      </c>
      <c r="K173" t="s">
        <v>95</v>
      </c>
      <c r="L173" t="s">
        <v>400</v>
      </c>
      <c r="M173" t="s">
        <v>1368</v>
      </c>
      <c r="Q173" t="s">
        <v>7</v>
      </c>
      <c r="R173" t="s">
        <v>95</v>
      </c>
      <c r="S173" t="s">
        <v>400</v>
      </c>
    </row>
    <row r="174" spans="1:19" ht="12.75">
      <c r="A174">
        <f t="shared" si="10"/>
      </c>
      <c r="B174">
        <f t="shared" si="11"/>
      </c>
      <c r="E174" t="str">
        <f t="shared" si="13"/>
        <v>3899</v>
      </c>
      <c r="F174" t="str">
        <f t="shared" si="13"/>
        <v>7329</v>
      </c>
      <c r="G174" t="str">
        <f t="shared" si="13"/>
        <v>10159</v>
      </c>
      <c r="I174" t="s">
        <v>29</v>
      </c>
      <c r="J174" t="s">
        <v>7</v>
      </c>
      <c r="K174" t="s">
        <v>1215</v>
      </c>
      <c r="L174" t="s">
        <v>1138</v>
      </c>
      <c r="M174" t="s">
        <v>327</v>
      </c>
      <c r="Q174" t="s">
        <v>7</v>
      </c>
      <c r="R174" t="s">
        <v>1215</v>
      </c>
      <c r="S174" t="s">
        <v>401</v>
      </c>
    </row>
    <row r="175" spans="1:19" ht="12.75">
      <c r="A175">
        <f t="shared" si="10"/>
      </c>
      <c r="B175">
        <f t="shared" si="11"/>
      </c>
      <c r="I175" t="s">
        <v>31</v>
      </c>
      <c r="J175" t="s">
        <v>7</v>
      </c>
      <c r="K175" t="s">
        <v>98</v>
      </c>
      <c r="L175" t="s">
        <v>402</v>
      </c>
      <c r="M175" t="s">
        <v>1368</v>
      </c>
      <c r="Q175" t="s">
        <v>7</v>
      </c>
      <c r="R175" t="s">
        <v>98</v>
      </c>
      <c r="S175" t="s">
        <v>402</v>
      </c>
    </row>
    <row r="176" spans="1:19" ht="12.75">
      <c r="A176">
        <f t="shared" si="10"/>
      </c>
      <c r="B176">
        <f t="shared" si="11"/>
      </c>
      <c r="I176" t="s">
        <v>33</v>
      </c>
      <c r="J176" t="s">
        <v>7</v>
      </c>
      <c r="K176" t="s">
        <v>1216</v>
      </c>
      <c r="L176" t="s">
        <v>1139</v>
      </c>
      <c r="M176" t="s">
        <v>327</v>
      </c>
      <c r="Q176" t="s">
        <v>7</v>
      </c>
      <c r="R176" t="s">
        <v>1216</v>
      </c>
      <c r="S176" t="s">
        <v>403</v>
      </c>
    </row>
    <row r="177" spans="1:19" ht="12.75">
      <c r="A177">
        <f t="shared" si="10"/>
      </c>
      <c r="B177">
        <f t="shared" si="11"/>
      </c>
      <c r="I177" t="s">
        <v>35</v>
      </c>
      <c r="J177" t="s">
        <v>7</v>
      </c>
      <c r="K177" t="s">
        <v>100</v>
      </c>
      <c r="L177" t="s">
        <v>404</v>
      </c>
      <c r="M177" t="s">
        <v>1367</v>
      </c>
      <c r="Q177" t="s">
        <v>7</v>
      </c>
      <c r="R177" t="s">
        <v>100</v>
      </c>
      <c r="S177" t="s">
        <v>404</v>
      </c>
    </row>
    <row r="178" spans="1:19" ht="12.75">
      <c r="A178">
        <f t="shared" si="10"/>
      </c>
      <c r="B178">
        <f t="shared" si="11"/>
      </c>
      <c r="I178" t="s">
        <v>37</v>
      </c>
      <c r="J178" t="s">
        <v>7</v>
      </c>
      <c r="K178" t="s">
        <v>103</v>
      </c>
      <c r="L178" t="s">
        <v>405</v>
      </c>
      <c r="M178" t="s">
        <v>1367</v>
      </c>
      <c r="Q178" t="s">
        <v>7</v>
      </c>
      <c r="R178" t="s">
        <v>103</v>
      </c>
      <c r="S178" t="s">
        <v>405</v>
      </c>
    </row>
    <row r="179" spans="1:19" ht="12.75">
      <c r="A179">
        <f t="shared" si="10"/>
      </c>
      <c r="B179">
        <f t="shared" si="11"/>
      </c>
      <c r="I179" t="s">
        <v>56</v>
      </c>
      <c r="J179" t="s">
        <v>7</v>
      </c>
      <c r="K179" t="s">
        <v>1211</v>
      </c>
      <c r="L179" t="s">
        <v>1127</v>
      </c>
      <c r="M179" t="s">
        <v>1368</v>
      </c>
      <c r="Q179" t="s">
        <v>7</v>
      </c>
      <c r="R179" t="s">
        <v>1211</v>
      </c>
      <c r="S179" t="s">
        <v>406</v>
      </c>
    </row>
    <row r="180" spans="1:19" ht="12.75">
      <c r="A180">
        <f t="shared" si="10"/>
      </c>
      <c r="B180">
        <f t="shared" si="11"/>
      </c>
      <c r="I180" t="s">
        <v>58</v>
      </c>
      <c r="J180" t="s">
        <v>7</v>
      </c>
      <c r="K180" t="s">
        <v>1212</v>
      </c>
      <c r="L180" t="s">
        <v>1140</v>
      </c>
      <c r="M180" t="s">
        <v>1368</v>
      </c>
      <c r="Q180" t="s">
        <v>7</v>
      </c>
      <c r="R180" t="s">
        <v>1212</v>
      </c>
      <c r="S180" t="s">
        <v>407</v>
      </c>
    </row>
    <row r="181" spans="1:19" ht="12.75">
      <c r="A181">
        <f t="shared" si="10"/>
      </c>
      <c r="B181">
        <f t="shared" si="11"/>
      </c>
      <c r="I181" t="s">
        <v>59</v>
      </c>
      <c r="J181" t="s">
        <v>7</v>
      </c>
      <c r="K181" t="s">
        <v>1213</v>
      </c>
      <c r="L181" t="s">
        <v>1141</v>
      </c>
      <c r="M181" t="s">
        <v>1368</v>
      </c>
      <c r="Q181" t="s">
        <v>7</v>
      </c>
      <c r="R181" t="s">
        <v>1208</v>
      </c>
      <c r="S181" t="s">
        <v>408</v>
      </c>
    </row>
    <row r="182" spans="1:19" ht="12.75">
      <c r="A182">
        <f t="shared" si="10"/>
      </c>
      <c r="B182">
        <f t="shared" si="11"/>
      </c>
      <c r="I182" t="s">
        <v>60</v>
      </c>
      <c r="J182" t="s">
        <v>7</v>
      </c>
      <c r="K182" t="s">
        <v>1208</v>
      </c>
      <c r="L182" t="s">
        <v>1142</v>
      </c>
      <c r="M182" t="s">
        <v>1367</v>
      </c>
      <c r="Q182" t="s">
        <v>7</v>
      </c>
      <c r="R182" t="s">
        <v>1213</v>
      </c>
      <c r="S182" t="s">
        <v>409</v>
      </c>
    </row>
    <row r="183" spans="1:19" ht="12.75">
      <c r="A183">
        <f t="shared" si="10"/>
      </c>
      <c r="B183">
        <f t="shared" si="11"/>
      </c>
      <c r="I183" t="s">
        <v>61</v>
      </c>
      <c r="J183" t="s">
        <v>7</v>
      </c>
      <c r="K183" t="s">
        <v>1209</v>
      </c>
      <c r="L183" t="s">
        <v>1143</v>
      </c>
      <c r="M183" t="s">
        <v>1367</v>
      </c>
      <c r="Q183" t="s">
        <v>7</v>
      </c>
      <c r="R183" t="s">
        <v>1209</v>
      </c>
      <c r="S183" t="s">
        <v>410</v>
      </c>
    </row>
    <row r="184" spans="1:19" ht="12.75">
      <c r="A184">
        <f t="shared" si="10"/>
      </c>
      <c r="B184">
        <f t="shared" si="11"/>
      </c>
      <c r="I184" t="s">
        <v>62</v>
      </c>
      <c r="J184" t="s">
        <v>7</v>
      </c>
      <c r="K184" t="s">
        <v>1210</v>
      </c>
      <c r="L184" t="s">
        <v>1144</v>
      </c>
      <c r="M184" t="s">
        <v>1367</v>
      </c>
      <c r="Q184" t="s">
        <v>7</v>
      </c>
      <c r="R184" t="s">
        <v>1210</v>
      </c>
      <c r="S184" t="s">
        <v>411</v>
      </c>
    </row>
    <row r="185" spans="1:17" ht="12.75">
      <c r="A185">
        <f t="shared" si="10"/>
      </c>
      <c r="B185">
        <f t="shared" si="11"/>
      </c>
      <c r="I185" t="s">
        <v>118</v>
      </c>
      <c r="J185" t="s">
        <v>7</v>
      </c>
      <c r="Q185" t="s">
        <v>7</v>
      </c>
    </row>
    <row r="186" spans="1:19" ht="12.75">
      <c r="A186">
        <f t="shared" si="10"/>
      </c>
      <c r="B186">
        <f t="shared" si="11"/>
      </c>
      <c r="I186" t="s">
        <v>119</v>
      </c>
      <c r="J186" t="s">
        <v>9</v>
      </c>
      <c r="L186" t="s">
        <v>7</v>
      </c>
      <c r="Q186" t="s">
        <v>9</v>
      </c>
      <c r="S186" t="s">
        <v>7</v>
      </c>
    </row>
    <row r="187" spans="1:19" ht="12.75">
      <c r="A187">
        <f t="shared" si="10"/>
      </c>
      <c r="B187">
        <f t="shared" si="11"/>
      </c>
      <c r="I187" t="s">
        <v>10</v>
      </c>
      <c r="J187" t="s">
        <v>11</v>
      </c>
      <c r="L187" t="s">
        <v>12</v>
      </c>
      <c r="Q187" t="s">
        <v>11</v>
      </c>
      <c r="S187" t="s">
        <v>12</v>
      </c>
    </row>
    <row r="188" spans="1:17" ht="12.75">
      <c r="A188">
        <f t="shared" si="10"/>
      </c>
      <c r="B188">
        <f t="shared" si="11"/>
      </c>
      <c r="I188" t="s">
        <v>13</v>
      </c>
      <c r="J188" t="s">
        <v>2</v>
      </c>
      <c r="Q188" t="s">
        <v>2</v>
      </c>
    </row>
    <row r="189" spans="1:19" ht="12.75">
      <c r="A189">
        <f t="shared" si="10"/>
      </c>
      <c r="B189">
        <f t="shared" si="11"/>
      </c>
      <c r="E189" t="s">
        <v>1164</v>
      </c>
      <c r="F189" t="s">
        <v>1205</v>
      </c>
      <c r="G189" t="s">
        <v>1163</v>
      </c>
      <c r="I189" t="s">
        <v>14</v>
      </c>
      <c r="J189" t="s">
        <v>15</v>
      </c>
      <c r="K189" t="s">
        <v>1205</v>
      </c>
      <c r="L189" t="s">
        <v>15</v>
      </c>
      <c r="Q189" t="s">
        <v>15</v>
      </c>
      <c r="R189" t="s">
        <v>1205</v>
      </c>
      <c r="S189" t="s">
        <v>15</v>
      </c>
    </row>
    <row r="190" spans="1:17" ht="12.75">
      <c r="A190" t="str">
        <f t="shared" si="10"/>
        <v>TWD</v>
      </c>
      <c r="B190" t="str">
        <f t="shared" si="11"/>
        <v>TPE</v>
      </c>
      <c r="C190" t="s">
        <v>1403</v>
      </c>
      <c r="D190">
        <v>1</v>
      </c>
      <c r="E190" t="str">
        <f ca="1">VLOOKUP(E$9&amp;"RWSTAR"&amp;$D190,OFFSET($K190,0,0,MATCH(1,D193:D238,0),2),2,FALSE)</f>
        <v>95400R</v>
      </c>
      <c r="F190" t="str">
        <f ca="1">VLOOKUP(F$9&amp;"RWSTAR"&amp;$D190,OFFSET($K190,0,0,MATCH(1,D193:D238,0),2),2,FALSE)</f>
        <v>185800R</v>
      </c>
      <c r="G190" t="str">
        <f ca="1">VLOOKUP(G$9&amp;"RWSTAR"&amp;$D190,OFFSET($K190,0,0,MATCH(1,D193:D238,0),2),2,FALSE)</f>
        <v>263300R</v>
      </c>
      <c r="I190" t="s">
        <v>1279</v>
      </c>
      <c r="J190" t="s">
        <v>16</v>
      </c>
      <c r="Q190" t="s">
        <v>16</v>
      </c>
    </row>
    <row r="191" spans="1:24" ht="12.75">
      <c r="A191">
        <f t="shared" si="10"/>
      </c>
      <c r="B191">
        <f t="shared" si="11"/>
      </c>
      <c r="D191">
        <v>2</v>
      </c>
      <c r="E191" t="str">
        <f ca="1">VLOOKUP(E$9&amp;"RWSTAR"&amp;$D191,OFFSET($K191,0,0,MATCH(1,D193:D238,0),2),2,FALSE)</f>
        <v>109700R</v>
      </c>
      <c r="F191" t="str">
        <f ca="1">VLOOKUP(F$9&amp;"RWSTAR"&amp;$D191,OFFSET($K191,0,0,MATCH(1,D193:D238,0),2),2,FALSE)</f>
        <v>213700R</v>
      </c>
      <c r="G191" t="str">
        <f ca="1">VLOOKUP(G$9&amp;"RWSTAR"&amp;$D191,OFFSET($K191,0,0,MATCH(1,D193:D238,0),2),2,FALSE)</f>
        <v>302700R</v>
      </c>
      <c r="I191" t="s">
        <v>17</v>
      </c>
      <c r="J191" t="s">
        <v>7</v>
      </c>
      <c r="K191" t="s">
        <v>88</v>
      </c>
      <c r="L191" t="s">
        <v>120</v>
      </c>
      <c r="M191" t="s">
        <v>20</v>
      </c>
      <c r="Q191" t="s">
        <v>7</v>
      </c>
      <c r="R191" t="s">
        <v>88</v>
      </c>
      <c r="S191" t="s">
        <v>120</v>
      </c>
      <c r="U191" t="s">
        <v>17</v>
      </c>
      <c r="V191" t="s">
        <v>7</v>
      </c>
      <c r="W191" t="s">
        <v>88</v>
      </c>
      <c r="X191" t="s">
        <v>120</v>
      </c>
    </row>
    <row r="192" spans="1:24" ht="12.75">
      <c r="A192">
        <f t="shared" si="10"/>
      </c>
      <c r="B192">
        <f t="shared" si="11"/>
      </c>
      <c r="D192">
        <v>3</v>
      </c>
      <c r="E192" t="str">
        <f ca="1">VLOOKUP(E$9&amp;"RWSTAR"&amp;$D192,OFFSET($K192,0,0,MATCH(1,D193:D238,0),2),2,FALSE)</f>
        <v>128700R</v>
      </c>
      <c r="F192" t="str">
        <f ca="1">VLOOKUP(F$9&amp;"RWSTAR"&amp;$D192,OFFSET($K192,0,0,MATCH(1,D193:D238,0),2),2,FALSE)</f>
        <v>250900R</v>
      </c>
      <c r="G192" t="str">
        <f ca="1">VLOOKUP(G$9&amp;"RWSTAR"&amp;$D192,OFFSET($K192,0,0,MATCH(1,D193:D238,0),2),2,FALSE)</f>
        <v>355400R</v>
      </c>
      <c r="I192" t="s">
        <v>21</v>
      </c>
      <c r="J192" t="s">
        <v>7</v>
      </c>
      <c r="K192" t="s">
        <v>90</v>
      </c>
      <c r="L192" t="s">
        <v>121</v>
      </c>
      <c r="M192" t="s">
        <v>20</v>
      </c>
      <c r="Q192" t="s">
        <v>7</v>
      </c>
      <c r="R192" t="s">
        <v>90</v>
      </c>
      <c r="S192" t="s">
        <v>121</v>
      </c>
      <c r="U192" t="s">
        <v>21</v>
      </c>
      <c r="V192" t="s">
        <v>7</v>
      </c>
      <c r="W192" t="s">
        <v>90</v>
      </c>
      <c r="X192" t="s">
        <v>121</v>
      </c>
    </row>
    <row r="193" spans="1:24" ht="12.75">
      <c r="A193">
        <f t="shared" si="10"/>
      </c>
      <c r="B193">
        <f t="shared" si="11"/>
      </c>
      <c r="I193" t="s">
        <v>23</v>
      </c>
      <c r="J193" t="s">
        <v>7</v>
      </c>
      <c r="K193" t="s">
        <v>19</v>
      </c>
      <c r="L193" t="s">
        <v>336</v>
      </c>
      <c r="M193" t="s">
        <v>20</v>
      </c>
      <c r="Q193" t="s">
        <v>7</v>
      </c>
      <c r="R193" t="s">
        <v>19</v>
      </c>
      <c r="S193" t="s">
        <v>122</v>
      </c>
      <c r="U193" t="s">
        <v>23</v>
      </c>
      <c r="V193" t="s">
        <v>7</v>
      </c>
      <c r="W193" t="s">
        <v>19</v>
      </c>
      <c r="X193" t="s">
        <v>122</v>
      </c>
    </row>
    <row r="194" spans="1:24" ht="12.75">
      <c r="A194">
        <f t="shared" si="10"/>
      </c>
      <c r="B194">
        <f t="shared" si="11"/>
      </c>
      <c r="E194" t="str">
        <f aca="true" t="shared" si="14" ref="E194:G196">(LEFT(E190,LEN(E190)-1))</f>
        <v>95400</v>
      </c>
      <c r="F194" t="str">
        <f t="shared" si="14"/>
        <v>185800</v>
      </c>
      <c r="G194" t="str">
        <f t="shared" si="14"/>
        <v>263300</v>
      </c>
      <c r="I194" t="s">
        <v>25</v>
      </c>
      <c r="J194" t="s">
        <v>7</v>
      </c>
      <c r="K194" t="s">
        <v>1214</v>
      </c>
      <c r="L194" t="s">
        <v>1129</v>
      </c>
      <c r="M194" t="s">
        <v>327</v>
      </c>
      <c r="Q194" t="s">
        <v>7</v>
      </c>
      <c r="R194" t="s">
        <v>1214</v>
      </c>
      <c r="S194" t="s">
        <v>123</v>
      </c>
      <c r="U194" t="s">
        <v>25</v>
      </c>
      <c r="V194" t="s">
        <v>7</v>
      </c>
      <c r="W194" t="s">
        <v>1214</v>
      </c>
      <c r="X194" t="s">
        <v>123</v>
      </c>
    </row>
    <row r="195" spans="1:24" ht="12.75">
      <c r="A195">
        <f t="shared" si="10"/>
      </c>
      <c r="B195">
        <f t="shared" si="11"/>
      </c>
      <c r="E195" t="str">
        <f t="shared" si="14"/>
        <v>109700</v>
      </c>
      <c r="F195" t="str">
        <f t="shared" si="14"/>
        <v>213700</v>
      </c>
      <c r="G195" t="str">
        <f t="shared" si="14"/>
        <v>302700</v>
      </c>
      <c r="I195" t="s">
        <v>27</v>
      </c>
      <c r="J195" t="s">
        <v>7</v>
      </c>
      <c r="K195" t="s">
        <v>1215</v>
      </c>
      <c r="L195" t="s">
        <v>1130</v>
      </c>
      <c r="M195" t="s">
        <v>327</v>
      </c>
      <c r="Q195" t="s">
        <v>7</v>
      </c>
      <c r="R195" t="s">
        <v>1215</v>
      </c>
      <c r="S195" t="s">
        <v>124</v>
      </c>
      <c r="U195" t="s">
        <v>27</v>
      </c>
      <c r="V195" t="s">
        <v>7</v>
      </c>
      <c r="W195" t="s">
        <v>1215</v>
      </c>
      <c r="X195" t="s">
        <v>124</v>
      </c>
    </row>
    <row r="196" spans="1:24" ht="12.75">
      <c r="A196">
        <f t="shared" si="10"/>
      </c>
      <c r="B196">
        <f t="shared" si="11"/>
      </c>
      <c r="E196" t="str">
        <f t="shared" si="14"/>
        <v>128700</v>
      </c>
      <c r="F196" t="str">
        <f t="shared" si="14"/>
        <v>250900</v>
      </c>
      <c r="G196" t="str">
        <f t="shared" si="14"/>
        <v>355400</v>
      </c>
      <c r="I196" t="s">
        <v>29</v>
      </c>
      <c r="J196" t="s">
        <v>7</v>
      </c>
      <c r="K196" t="s">
        <v>1216</v>
      </c>
      <c r="L196" t="s">
        <v>1131</v>
      </c>
      <c r="M196" t="s">
        <v>327</v>
      </c>
      <c r="Q196" t="s">
        <v>7</v>
      </c>
      <c r="R196" t="s">
        <v>1216</v>
      </c>
      <c r="S196" t="s">
        <v>66</v>
      </c>
      <c r="U196" t="s">
        <v>29</v>
      </c>
      <c r="V196" t="s">
        <v>7</v>
      </c>
      <c r="W196" t="s">
        <v>1216</v>
      </c>
      <c r="X196" t="s">
        <v>66</v>
      </c>
    </row>
    <row r="197" spans="1:24" ht="12.75">
      <c r="A197">
        <f t="shared" si="10"/>
      </c>
      <c r="B197">
        <f t="shared" si="11"/>
      </c>
      <c r="I197" t="s">
        <v>31</v>
      </c>
      <c r="J197" t="s">
        <v>7</v>
      </c>
      <c r="K197" t="s">
        <v>95</v>
      </c>
      <c r="L197" t="s">
        <v>125</v>
      </c>
      <c r="M197" t="s">
        <v>1368</v>
      </c>
      <c r="Q197" t="s">
        <v>7</v>
      </c>
      <c r="R197" t="s">
        <v>95</v>
      </c>
      <c r="S197" t="s">
        <v>125</v>
      </c>
      <c r="U197" t="s">
        <v>31</v>
      </c>
      <c r="V197" t="s">
        <v>7</v>
      </c>
      <c r="W197" t="s">
        <v>95</v>
      </c>
      <c r="X197" t="s">
        <v>125</v>
      </c>
    </row>
    <row r="198" spans="1:24" ht="12.75">
      <c r="A198">
        <f t="shared" si="10"/>
      </c>
      <c r="B198">
        <f t="shared" si="11"/>
      </c>
      <c r="I198" t="s">
        <v>33</v>
      </c>
      <c r="J198" t="s">
        <v>7</v>
      </c>
      <c r="K198" t="s">
        <v>98</v>
      </c>
      <c r="L198" t="s">
        <v>126</v>
      </c>
      <c r="M198" t="s">
        <v>1368</v>
      </c>
      <c r="Q198" t="s">
        <v>7</v>
      </c>
      <c r="R198" t="s">
        <v>98</v>
      </c>
      <c r="S198" t="s">
        <v>126</v>
      </c>
      <c r="U198" t="s">
        <v>33</v>
      </c>
      <c r="V198" t="s">
        <v>7</v>
      </c>
      <c r="W198" t="s">
        <v>98</v>
      </c>
      <c r="X198" t="s">
        <v>126</v>
      </c>
    </row>
    <row r="199" spans="1:24" ht="12.75">
      <c r="A199">
        <f t="shared" si="10"/>
      </c>
      <c r="B199">
        <f t="shared" si="11"/>
      </c>
      <c r="I199" t="s">
        <v>35</v>
      </c>
      <c r="J199" t="s">
        <v>7</v>
      </c>
      <c r="K199" t="s">
        <v>100</v>
      </c>
      <c r="L199" t="s">
        <v>128</v>
      </c>
      <c r="M199" t="s">
        <v>1367</v>
      </c>
      <c r="Q199" t="s">
        <v>7</v>
      </c>
      <c r="R199" t="s">
        <v>1211</v>
      </c>
      <c r="S199" t="s">
        <v>127</v>
      </c>
      <c r="U199" t="s">
        <v>35</v>
      </c>
      <c r="V199" t="s">
        <v>7</v>
      </c>
      <c r="W199" t="s">
        <v>1211</v>
      </c>
      <c r="X199" t="s">
        <v>127</v>
      </c>
    </row>
    <row r="200" spans="1:24" ht="12.75">
      <c r="A200">
        <f t="shared" si="10"/>
      </c>
      <c r="B200">
        <f t="shared" si="11"/>
      </c>
      <c r="I200" t="s">
        <v>37</v>
      </c>
      <c r="J200" t="s">
        <v>7</v>
      </c>
      <c r="K200" t="s">
        <v>1211</v>
      </c>
      <c r="L200" t="s">
        <v>1132</v>
      </c>
      <c r="M200" t="s">
        <v>1368</v>
      </c>
      <c r="Q200" t="s">
        <v>7</v>
      </c>
      <c r="R200" t="s">
        <v>100</v>
      </c>
      <c r="S200" t="s">
        <v>128</v>
      </c>
      <c r="U200" t="s">
        <v>37</v>
      </c>
      <c r="V200" t="s">
        <v>7</v>
      </c>
      <c r="W200" t="s">
        <v>100</v>
      </c>
      <c r="X200" t="s">
        <v>128</v>
      </c>
    </row>
    <row r="201" spans="1:24" ht="12.75">
      <c r="A201">
        <f t="shared" si="10"/>
      </c>
      <c r="B201">
        <f t="shared" si="11"/>
      </c>
      <c r="I201" t="s">
        <v>56</v>
      </c>
      <c r="J201" t="s">
        <v>7</v>
      </c>
      <c r="K201" t="s">
        <v>103</v>
      </c>
      <c r="L201" t="s">
        <v>102</v>
      </c>
      <c r="M201" t="s">
        <v>1367</v>
      </c>
      <c r="Q201" t="s">
        <v>7</v>
      </c>
      <c r="R201" t="s">
        <v>1212</v>
      </c>
      <c r="S201" t="s">
        <v>129</v>
      </c>
      <c r="U201" t="s">
        <v>56</v>
      </c>
      <c r="V201" t="s">
        <v>7</v>
      </c>
      <c r="W201" t="s">
        <v>1212</v>
      </c>
      <c r="X201" t="s">
        <v>129</v>
      </c>
    </row>
    <row r="202" spans="1:24" ht="12.75">
      <c r="A202">
        <f t="shared" si="10"/>
      </c>
      <c r="B202">
        <f t="shared" si="11"/>
      </c>
      <c r="I202" t="s">
        <v>58</v>
      </c>
      <c r="J202" t="s">
        <v>7</v>
      </c>
      <c r="K202" t="s">
        <v>1212</v>
      </c>
      <c r="L202" t="s">
        <v>1133</v>
      </c>
      <c r="M202" t="s">
        <v>1368</v>
      </c>
      <c r="Q202" t="s">
        <v>7</v>
      </c>
      <c r="R202" t="s">
        <v>103</v>
      </c>
      <c r="S202" t="s">
        <v>102</v>
      </c>
      <c r="U202" t="s">
        <v>58</v>
      </c>
      <c r="V202" t="s">
        <v>7</v>
      </c>
      <c r="W202" t="s">
        <v>103</v>
      </c>
      <c r="X202" t="s">
        <v>102</v>
      </c>
    </row>
    <row r="203" spans="1:24" ht="12.75">
      <c r="A203">
        <f aca="true" t="shared" si="15" ref="A203:A265">IF(J203="BASIS",I203,"")</f>
      </c>
      <c r="B203">
        <f aca="true" t="shared" si="16" ref="B203:B266">IF(A203&lt;&gt;"",LEFT(I199,3),"")</f>
      </c>
      <c r="I203" t="s">
        <v>59</v>
      </c>
      <c r="J203" t="s">
        <v>7</v>
      </c>
      <c r="K203" t="s">
        <v>1213</v>
      </c>
      <c r="L203" t="s">
        <v>1134</v>
      </c>
      <c r="M203" t="s">
        <v>1368</v>
      </c>
      <c r="Q203" t="s">
        <v>7</v>
      </c>
      <c r="R203" t="s">
        <v>1213</v>
      </c>
      <c r="S203" t="s">
        <v>1585</v>
      </c>
      <c r="U203" t="s">
        <v>59</v>
      </c>
      <c r="V203" t="s">
        <v>7</v>
      </c>
      <c r="W203" t="s">
        <v>1213</v>
      </c>
      <c r="X203" t="s">
        <v>1585</v>
      </c>
    </row>
    <row r="204" spans="1:24" ht="12.75">
      <c r="A204">
        <f t="shared" si="15"/>
      </c>
      <c r="B204">
        <f t="shared" si="16"/>
      </c>
      <c r="I204" t="s">
        <v>60</v>
      </c>
      <c r="J204" t="s">
        <v>7</v>
      </c>
      <c r="K204" t="s">
        <v>1208</v>
      </c>
      <c r="L204" t="s">
        <v>1135</v>
      </c>
      <c r="M204" t="s">
        <v>1367</v>
      </c>
      <c r="Q204" t="s">
        <v>7</v>
      </c>
      <c r="R204" t="s">
        <v>1208</v>
      </c>
      <c r="S204" t="s">
        <v>1586</v>
      </c>
      <c r="U204" t="s">
        <v>60</v>
      </c>
      <c r="V204" t="s">
        <v>7</v>
      </c>
      <c r="W204" t="s">
        <v>1208</v>
      </c>
      <c r="X204" t="s">
        <v>1586</v>
      </c>
    </row>
    <row r="205" spans="1:24" ht="12.75">
      <c r="A205">
        <f t="shared" si="15"/>
      </c>
      <c r="B205">
        <f t="shared" si="16"/>
      </c>
      <c r="I205" t="s">
        <v>61</v>
      </c>
      <c r="J205" t="s">
        <v>7</v>
      </c>
      <c r="K205" t="s">
        <v>1209</v>
      </c>
      <c r="L205" t="s">
        <v>1136</v>
      </c>
      <c r="M205" t="s">
        <v>1367</v>
      </c>
      <c r="Q205" t="s">
        <v>7</v>
      </c>
      <c r="R205" t="s">
        <v>1209</v>
      </c>
      <c r="S205" t="s">
        <v>1587</v>
      </c>
      <c r="U205" t="s">
        <v>61</v>
      </c>
      <c r="V205" t="s">
        <v>7</v>
      </c>
      <c r="W205" t="s">
        <v>1209</v>
      </c>
      <c r="X205" t="s">
        <v>1587</v>
      </c>
    </row>
    <row r="206" spans="1:24" ht="12.75">
      <c r="A206">
        <f t="shared" si="15"/>
      </c>
      <c r="B206">
        <f t="shared" si="16"/>
      </c>
      <c r="I206" t="s">
        <v>62</v>
      </c>
      <c r="J206" t="s">
        <v>7</v>
      </c>
      <c r="K206" t="s">
        <v>1210</v>
      </c>
      <c r="L206" t="s">
        <v>1137</v>
      </c>
      <c r="M206" t="s">
        <v>1367</v>
      </c>
      <c r="Q206" t="s">
        <v>7</v>
      </c>
      <c r="R206" t="s">
        <v>1210</v>
      </c>
      <c r="S206" t="s">
        <v>1588</v>
      </c>
      <c r="U206" t="s">
        <v>62</v>
      </c>
      <c r="V206" t="s">
        <v>7</v>
      </c>
      <c r="W206" t="s">
        <v>1210</v>
      </c>
      <c r="X206" t="s">
        <v>1588</v>
      </c>
    </row>
    <row r="207" spans="1:10" ht="12.75">
      <c r="A207">
        <f t="shared" si="15"/>
      </c>
      <c r="B207">
        <f t="shared" si="16"/>
      </c>
      <c r="I207" t="s">
        <v>1589</v>
      </c>
      <c r="J207" t="s">
        <v>7</v>
      </c>
    </row>
    <row r="208" spans="1:12" ht="12.75">
      <c r="A208">
        <f t="shared" si="15"/>
      </c>
      <c r="B208">
        <f t="shared" si="16"/>
      </c>
      <c r="I208" t="s">
        <v>1590</v>
      </c>
      <c r="J208" t="s">
        <v>9</v>
      </c>
      <c r="L208" t="s">
        <v>7</v>
      </c>
    </row>
    <row r="209" spans="1:12" ht="12.75">
      <c r="A209">
        <f t="shared" si="15"/>
      </c>
      <c r="B209">
        <f t="shared" si="16"/>
      </c>
      <c r="I209" t="s">
        <v>10</v>
      </c>
      <c r="J209" t="s">
        <v>11</v>
      </c>
      <c r="L209" t="s">
        <v>12</v>
      </c>
    </row>
    <row r="210" spans="1:10" ht="12.75">
      <c r="A210">
        <f t="shared" si="15"/>
      </c>
      <c r="B210">
        <f t="shared" si="16"/>
      </c>
      <c r="I210" t="s">
        <v>13</v>
      </c>
      <c r="J210" t="s">
        <v>2</v>
      </c>
    </row>
    <row r="211" spans="1:12" ht="12.75">
      <c r="A211">
        <f t="shared" si="15"/>
      </c>
      <c r="B211">
        <f t="shared" si="16"/>
      </c>
      <c r="E211" t="s">
        <v>1164</v>
      </c>
      <c r="F211" t="s">
        <v>1205</v>
      </c>
      <c r="G211" t="s">
        <v>1163</v>
      </c>
      <c r="I211" t="s">
        <v>14</v>
      </c>
      <c r="J211" t="s">
        <v>15</v>
      </c>
      <c r="K211" t="s">
        <v>1205</v>
      </c>
      <c r="L211" t="s">
        <v>15</v>
      </c>
    </row>
    <row r="212" spans="1:10" ht="12.75">
      <c r="A212" t="str">
        <f t="shared" si="15"/>
        <v>KRW</v>
      </c>
      <c r="B212" t="str">
        <f t="shared" si="16"/>
        <v>SEL</v>
      </c>
      <c r="C212" t="s">
        <v>1397</v>
      </c>
      <c r="D212">
        <v>1</v>
      </c>
      <c r="E212" t="str">
        <f ca="1">VLOOKUP(E$9&amp;"RWSTAR"&amp;$D212,OFFSET($K212,0,0,MATCH(1,D215:D260,0),2),2,FALSE)</f>
        <v>3046100R</v>
      </c>
      <c r="F212" t="str">
        <f ca="1">VLOOKUP(F$9&amp;"RWSTAR"&amp;$D212,OFFSET($K212,0,0,MATCH(1,D215:D260,0),2),2,FALSE)</f>
        <v>5415400R</v>
      </c>
      <c r="G212" t="str">
        <f ca="1">VLOOKUP(G$9&amp;"RWSTAR"&amp;$D212,OFFSET($K212,0,0,MATCH(1,D215:D260,0),2),2,FALSE)</f>
        <v>8074000R</v>
      </c>
      <c r="I212" t="s">
        <v>1274</v>
      </c>
      <c r="J212" t="s">
        <v>16</v>
      </c>
    </row>
    <row r="213" spans="1:12" ht="12.75">
      <c r="A213">
        <f t="shared" si="15"/>
      </c>
      <c r="B213">
        <f t="shared" si="16"/>
      </c>
      <c r="D213">
        <v>2</v>
      </c>
      <c r="E213" t="str">
        <f ca="1">VLOOKUP(E$9&amp;"RWSTAR"&amp;$D213,OFFSET($K213,0,0,MATCH(1,D215:D260,0),2),2,FALSE)</f>
        <v>3503000R</v>
      </c>
      <c r="F213" t="str">
        <f ca="1">VLOOKUP(F$9&amp;"RWSTAR"&amp;$D213,OFFSET($K213,0,0,MATCH(1,D215:D260,0),2),2,FALSE)</f>
        <v>6227800R</v>
      </c>
      <c r="G213" t="str">
        <f ca="1">VLOOKUP(G$9&amp;"RWSTAR"&amp;$D213,OFFSET($K213,0,0,MATCH(1,D215:D260,0),2),2,FALSE)</f>
        <v>9285200R</v>
      </c>
      <c r="I213" t="s">
        <v>17</v>
      </c>
      <c r="J213" t="s">
        <v>7</v>
      </c>
      <c r="K213" t="s">
        <v>88</v>
      </c>
      <c r="L213" t="s">
        <v>1591</v>
      </c>
    </row>
    <row r="214" spans="1:12" ht="12.75">
      <c r="A214">
        <f t="shared" si="15"/>
      </c>
      <c r="B214">
        <f t="shared" si="16"/>
      </c>
      <c r="D214">
        <v>3</v>
      </c>
      <c r="E214" t="str">
        <f ca="1">VLOOKUP(E$9&amp;"RWSTAR"&amp;$D214,OFFSET($K214,0,0,MATCH(1,D215:D260,0),2),2,FALSE)</f>
        <v>4112200R</v>
      </c>
      <c r="F214" t="str">
        <f ca="1">VLOOKUP(F$9&amp;"RWSTAR"&amp;$D214,OFFSET($K214,0,0,MATCH(1,D215:D260,0),2),2,FALSE)</f>
        <v>7310900R</v>
      </c>
      <c r="G214" t="str">
        <f ca="1">VLOOKUP(G$9&amp;"RWSTAR"&amp;$D214,OFFSET($K214,0,0,MATCH(1,D215:D260,0),2),2,FALSE)</f>
        <v>10900000R</v>
      </c>
      <c r="I214" t="s">
        <v>21</v>
      </c>
      <c r="J214" t="s">
        <v>7</v>
      </c>
      <c r="K214" t="s">
        <v>90</v>
      </c>
      <c r="L214" t="s">
        <v>1592</v>
      </c>
    </row>
    <row r="215" spans="1:12" ht="12.75">
      <c r="A215">
        <f t="shared" si="15"/>
      </c>
      <c r="B215">
        <f t="shared" si="16"/>
      </c>
      <c r="I215" t="s">
        <v>23</v>
      </c>
      <c r="J215" t="s">
        <v>7</v>
      </c>
      <c r="K215" t="s">
        <v>19</v>
      </c>
      <c r="L215" t="s">
        <v>1593</v>
      </c>
    </row>
    <row r="216" spans="1:12" ht="12.75">
      <c r="A216">
        <f t="shared" si="15"/>
      </c>
      <c r="B216">
        <f t="shared" si="16"/>
      </c>
      <c r="E216" t="str">
        <f aca="true" t="shared" si="17" ref="E216:G218">(LEFT(E212,LEN(E212)-1))</f>
        <v>3046100</v>
      </c>
      <c r="F216" t="str">
        <f t="shared" si="17"/>
        <v>5415400</v>
      </c>
      <c r="G216" t="str">
        <f t="shared" si="17"/>
        <v>8074000</v>
      </c>
      <c r="I216" t="s">
        <v>25</v>
      </c>
      <c r="J216" t="s">
        <v>7</v>
      </c>
      <c r="K216" t="s">
        <v>1214</v>
      </c>
      <c r="L216" t="s">
        <v>1594</v>
      </c>
    </row>
    <row r="217" spans="1:12" ht="12.75">
      <c r="A217">
        <f t="shared" si="15"/>
      </c>
      <c r="B217">
        <f t="shared" si="16"/>
      </c>
      <c r="E217" t="str">
        <f t="shared" si="17"/>
        <v>3503000</v>
      </c>
      <c r="F217" t="str">
        <f t="shared" si="17"/>
        <v>6227800</v>
      </c>
      <c r="G217" t="str">
        <f t="shared" si="17"/>
        <v>9285200</v>
      </c>
      <c r="I217" t="s">
        <v>27</v>
      </c>
      <c r="J217" t="s">
        <v>7</v>
      </c>
      <c r="K217" t="s">
        <v>1215</v>
      </c>
      <c r="L217" t="s">
        <v>1595</v>
      </c>
    </row>
    <row r="218" spans="1:12" ht="12.75">
      <c r="A218">
        <f t="shared" si="15"/>
      </c>
      <c r="B218">
        <f t="shared" si="16"/>
      </c>
      <c r="E218" t="str">
        <f t="shared" si="17"/>
        <v>4112200</v>
      </c>
      <c r="F218" t="str">
        <f t="shared" si="17"/>
        <v>7310900</v>
      </c>
      <c r="G218" t="str">
        <f t="shared" si="17"/>
        <v>10900000</v>
      </c>
      <c r="I218" t="s">
        <v>29</v>
      </c>
      <c r="J218" t="s">
        <v>7</v>
      </c>
      <c r="K218" t="s">
        <v>95</v>
      </c>
      <c r="L218" t="s">
        <v>1596</v>
      </c>
    </row>
    <row r="219" spans="1:12" ht="12.75">
      <c r="A219">
        <f t="shared" si="15"/>
      </c>
      <c r="B219">
        <f t="shared" si="16"/>
      </c>
      <c r="I219" t="s">
        <v>31</v>
      </c>
      <c r="J219" t="s">
        <v>7</v>
      </c>
      <c r="K219" t="s">
        <v>1216</v>
      </c>
      <c r="L219" t="s">
        <v>1597</v>
      </c>
    </row>
    <row r="220" spans="1:12" ht="12.75">
      <c r="A220">
        <f t="shared" si="15"/>
      </c>
      <c r="B220">
        <f t="shared" si="16"/>
      </c>
      <c r="I220" t="s">
        <v>33</v>
      </c>
      <c r="J220" t="s">
        <v>7</v>
      </c>
      <c r="K220" t="s">
        <v>98</v>
      </c>
      <c r="L220" t="s">
        <v>1598</v>
      </c>
    </row>
    <row r="221" spans="1:12" ht="12.75">
      <c r="A221">
        <f t="shared" si="15"/>
      </c>
      <c r="B221">
        <f t="shared" si="16"/>
      </c>
      <c r="I221" t="s">
        <v>35</v>
      </c>
      <c r="J221" t="s">
        <v>7</v>
      </c>
      <c r="K221" t="s">
        <v>1211</v>
      </c>
      <c r="L221" t="s">
        <v>1599</v>
      </c>
    </row>
    <row r="222" spans="1:12" ht="12.75">
      <c r="A222">
        <f t="shared" si="15"/>
      </c>
      <c r="B222">
        <f t="shared" si="16"/>
      </c>
      <c r="I222" t="s">
        <v>37</v>
      </c>
      <c r="J222" t="s">
        <v>7</v>
      </c>
      <c r="K222" t="s">
        <v>100</v>
      </c>
      <c r="L222" t="s">
        <v>1600</v>
      </c>
    </row>
    <row r="223" spans="1:12" ht="12.75">
      <c r="A223">
        <f t="shared" si="15"/>
      </c>
      <c r="B223">
        <f t="shared" si="16"/>
      </c>
      <c r="I223" t="s">
        <v>56</v>
      </c>
      <c r="J223" t="s">
        <v>7</v>
      </c>
      <c r="K223" t="s">
        <v>1212</v>
      </c>
      <c r="L223" t="s">
        <v>1601</v>
      </c>
    </row>
    <row r="224" spans="1:12" ht="12.75">
      <c r="A224">
        <f t="shared" si="15"/>
      </c>
      <c r="B224">
        <f t="shared" si="16"/>
      </c>
      <c r="I224" t="s">
        <v>58</v>
      </c>
      <c r="J224" t="s">
        <v>7</v>
      </c>
      <c r="K224" t="s">
        <v>103</v>
      </c>
      <c r="L224" t="s">
        <v>1602</v>
      </c>
    </row>
    <row r="225" spans="1:12" ht="12.75">
      <c r="A225">
        <f t="shared" si="15"/>
      </c>
      <c r="B225">
        <f t="shared" si="16"/>
      </c>
      <c r="I225" t="s">
        <v>59</v>
      </c>
      <c r="J225" t="s">
        <v>7</v>
      </c>
      <c r="K225" t="s">
        <v>1213</v>
      </c>
      <c r="L225" t="s">
        <v>1603</v>
      </c>
    </row>
    <row r="226" spans="1:12" ht="12.75">
      <c r="A226">
        <f t="shared" si="15"/>
      </c>
      <c r="B226">
        <f t="shared" si="16"/>
      </c>
      <c r="I226" t="s">
        <v>60</v>
      </c>
      <c r="J226" t="s">
        <v>7</v>
      </c>
      <c r="K226" t="s">
        <v>1208</v>
      </c>
      <c r="L226" t="s">
        <v>1604</v>
      </c>
    </row>
    <row r="227" spans="1:12" ht="12.75">
      <c r="A227">
        <f t="shared" si="15"/>
      </c>
      <c r="B227">
        <f t="shared" si="16"/>
      </c>
      <c r="I227" t="s">
        <v>61</v>
      </c>
      <c r="J227" t="s">
        <v>7</v>
      </c>
      <c r="K227" t="s">
        <v>1209</v>
      </c>
      <c r="L227" t="s">
        <v>1605</v>
      </c>
    </row>
    <row r="228" spans="1:12" ht="12.75">
      <c r="A228">
        <f t="shared" si="15"/>
      </c>
      <c r="B228">
        <f t="shared" si="16"/>
      </c>
      <c r="I228" t="s">
        <v>62</v>
      </c>
      <c r="J228" t="s">
        <v>7</v>
      </c>
      <c r="K228" t="s">
        <v>1210</v>
      </c>
      <c r="L228" t="s">
        <v>1606</v>
      </c>
    </row>
    <row r="229" spans="1:13" ht="12.75">
      <c r="A229">
        <f t="shared" si="15"/>
      </c>
      <c r="B229">
        <f t="shared" si="16"/>
      </c>
      <c r="I229" t="s">
        <v>25</v>
      </c>
      <c r="J229" t="s">
        <v>7</v>
      </c>
      <c r="K229" t="s">
        <v>1214</v>
      </c>
      <c r="L229" t="s">
        <v>1594</v>
      </c>
      <c r="M229" t="s">
        <v>39</v>
      </c>
    </row>
    <row r="230" spans="1:2" ht="12.75">
      <c r="A230">
        <f t="shared" si="15"/>
      </c>
      <c r="B230">
        <f t="shared" si="16"/>
      </c>
    </row>
    <row r="231" spans="1:10" ht="12.75">
      <c r="A231">
        <f t="shared" si="15"/>
      </c>
      <c r="B231">
        <f t="shared" si="16"/>
      </c>
      <c r="I231" t="s">
        <v>40</v>
      </c>
      <c r="J231" t="s">
        <v>211</v>
      </c>
    </row>
    <row r="232" spans="1:14" ht="12.75">
      <c r="A232">
        <f t="shared" si="15"/>
      </c>
      <c r="B232">
        <f t="shared" si="16"/>
      </c>
      <c r="I232" t="s">
        <v>41</v>
      </c>
      <c r="J232" t="s">
        <v>42</v>
      </c>
      <c r="K232" t="s">
        <v>1607</v>
      </c>
      <c r="L232" t="s">
        <v>43</v>
      </c>
      <c r="M232">
        <v>9713</v>
      </c>
      <c r="N232" t="s">
        <v>1251</v>
      </c>
    </row>
    <row r="233" spans="1:10" ht="12.75">
      <c r="A233">
        <f t="shared" si="15"/>
      </c>
      <c r="B233">
        <f t="shared" si="16"/>
      </c>
      <c r="I233" t="s">
        <v>1608</v>
      </c>
      <c r="J233" t="s">
        <v>7</v>
      </c>
    </row>
    <row r="234" spans="1:12" ht="12.75">
      <c r="A234">
        <f t="shared" si="15"/>
      </c>
      <c r="B234">
        <f t="shared" si="16"/>
      </c>
      <c r="I234" t="s">
        <v>1609</v>
      </c>
      <c r="J234" t="s">
        <v>9</v>
      </c>
      <c r="L234" t="s">
        <v>7</v>
      </c>
    </row>
    <row r="235" spans="1:12" ht="12.75">
      <c r="A235">
        <f t="shared" si="15"/>
      </c>
      <c r="B235">
        <f t="shared" si="16"/>
      </c>
      <c r="I235" t="s">
        <v>10</v>
      </c>
      <c r="J235" t="s">
        <v>11</v>
      </c>
      <c r="L235" t="s">
        <v>12</v>
      </c>
    </row>
    <row r="236" spans="1:10" ht="12.75">
      <c r="A236">
        <f t="shared" si="15"/>
      </c>
      <c r="B236">
        <f t="shared" si="16"/>
      </c>
      <c r="I236" t="s">
        <v>13</v>
      </c>
      <c r="J236" t="s">
        <v>2</v>
      </c>
    </row>
    <row r="237" spans="1:12" ht="12.75">
      <c r="A237">
        <f t="shared" si="15"/>
      </c>
      <c r="B237">
        <f t="shared" si="16"/>
      </c>
      <c r="E237" t="s">
        <v>1164</v>
      </c>
      <c r="F237" t="s">
        <v>1205</v>
      </c>
      <c r="G237" t="s">
        <v>1163</v>
      </c>
      <c r="I237" t="s">
        <v>14</v>
      </c>
      <c r="J237" t="s">
        <v>15</v>
      </c>
      <c r="K237" t="s">
        <v>1205</v>
      </c>
      <c r="L237" t="s">
        <v>15</v>
      </c>
    </row>
    <row r="238" spans="1:10" ht="12.75">
      <c r="A238" t="str">
        <f t="shared" si="15"/>
        <v>DKK</v>
      </c>
      <c r="B238" t="str">
        <f t="shared" si="16"/>
        <v>CPH</v>
      </c>
      <c r="C238" t="s">
        <v>1413</v>
      </c>
      <c r="D238">
        <v>1</v>
      </c>
      <c r="E238" t="str">
        <f ca="1">VLOOKUP(E$9&amp;"RWSTAR"&amp;$D238,OFFSET($K238,0,0,MATCH(1,D241:D286,0),2),2,FALSE)</f>
        <v>16200R</v>
      </c>
      <c r="F238" t="str">
        <f ca="1">VLOOKUP(F$9&amp;"RWSTAR"&amp;$D238,OFFSET($K238,0,0,MATCH(1,D241:D286,0),2),2,FALSE)</f>
        <v>32790R</v>
      </c>
      <c r="G238" t="str">
        <f ca="1">VLOOKUP(G$9&amp;"RWSTAR"&amp;$D238,OFFSET($K238,0,0,MATCH(1,D241:D286,0),2),2,FALSE)</f>
        <v>50850R</v>
      </c>
      <c r="I238" t="s">
        <v>1316</v>
      </c>
      <c r="J238" t="s">
        <v>16</v>
      </c>
    </row>
    <row r="239" spans="1:20" ht="12.75">
      <c r="A239">
        <f t="shared" si="15"/>
      </c>
      <c r="B239">
        <f t="shared" si="16"/>
      </c>
      <c r="D239">
        <v>2</v>
      </c>
      <c r="E239" t="str">
        <f ca="1">VLOOKUP(E$9&amp;"RWSTAR"&amp;$D239,OFFSET($K239,0,0,MATCH(1,D241:D286,0),2),2,FALSE)</f>
        <v>18620R</v>
      </c>
      <c r="F239" t="str">
        <f ca="1">VLOOKUP(F$9&amp;"RWSTAR"&amp;$D239,OFFSET($K239,0,0,MATCH(1,D241:D286,0),2),2,FALSE)</f>
        <v>37720R</v>
      </c>
      <c r="G239" t="str">
        <f ca="1">VLOOKUP(G$9&amp;"RWSTAR"&amp;$D239,OFFSET($K239,0,0,MATCH(1,D241:D286,0),2),2,FALSE)</f>
        <v>58480R</v>
      </c>
      <c r="I239" t="s">
        <v>1692</v>
      </c>
      <c r="J239" t="s">
        <v>7</v>
      </c>
      <c r="K239" t="s">
        <v>1211</v>
      </c>
      <c r="L239" t="s">
        <v>245</v>
      </c>
      <c r="M239" t="s">
        <v>1368</v>
      </c>
      <c r="R239" t="s">
        <v>7</v>
      </c>
      <c r="S239" t="s">
        <v>19</v>
      </c>
      <c r="T239" t="s">
        <v>1610</v>
      </c>
    </row>
    <row r="240" spans="1:20" ht="12.75">
      <c r="A240">
        <f t="shared" si="15"/>
      </c>
      <c r="B240">
        <f t="shared" si="16"/>
      </c>
      <c r="D240">
        <v>3</v>
      </c>
      <c r="E240" t="str">
        <f ca="1">VLOOKUP(E$9&amp;"RWSTAR"&amp;$D240,OFFSET($K240,0,0,MATCH(1,D241:D286,0),2),2,FALSE)</f>
        <v>21860R</v>
      </c>
      <c r="F240" t="str">
        <f ca="1">VLOOKUP(F$9&amp;"RWSTAR"&amp;$D240,OFFSET($K240,0,0,MATCH(1,D241:D286,0),2),2,FALSE)</f>
        <v>44290R</v>
      </c>
      <c r="G240" t="str">
        <f ca="1">VLOOKUP(G$9&amp;"RWSTAR"&amp;$D240,OFFSET($K240,0,0,MATCH(1,D241:D286,0),2),2,FALSE)</f>
        <v>68640R</v>
      </c>
      <c r="I240" t="s">
        <v>1695</v>
      </c>
      <c r="J240" t="s">
        <v>7</v>
      </c>
      <c r="K240" t="s">
        <v>1212</v>
      </c>
      <c r="L240" t="s">
        <v>246</v>
      </c>
      <c r="M240" t="s">
        <v>1368</v>
      </c>
      <c r="R240" t="s">
        <v>7</v>
      </c>
      <c r="S240" t="s">
        <v>1214</v>
      </c>
      <c r="T240" t="s">
        <v>1611</v>
      </c>
    </row>
    <row r="241" spans="1:20" ht="12.75">
      <c r="A241">
        <f t="shared" si="15"/>
      </c>
      <c r="B241">
        <f t="shared" si="16"/>
      </c>
      <c r="I241" t="s">
        <v>331</v>
      </c>
      <c r="J241" t="s">
        <v>7</v>
      </c>
      <c r="K241" t="s">
        <v>1213</v>
      </c>
      <c r="L241" t="s">
        <v>247</v>
      </c>
      <c r="M241" t="s">
        <v>1368</v>
      </c>
      <c r="R241" t="s">
        <v>7</v>
      </c>
      <c r="S241" t="s">
        <v>1215</v>
      </c>
      <c r="T241" t="s">
        <v>1612</v>
      </c>
    </row>
    <row r="242" spans="1:20" ht="12.75">
      <c r="A242">
        <f t="shared" si="15"/>
      </c>
      <c r="B242">
        <f t="shared" si="16"/>
      </c>
      <c r="E242" t="str">
        <f aca="true" t="shared" si="18" ref="E242:G244">(LEFT(E238,LEN(E238)-1))</f>
        <v>16200</v>
      </c>
      <c r="F242" t="str">
        <f t="shared" si="18"/>
        <v>32790</v>
      </c>
      <c r="G242" t="str">
        <f t="shared" si="18"/>
        <v>50850</v>
      </c>
      <c r="I242" t="s">
        <v>248</v>
      </c>
      <c r="J242" t="s">
        <v>7</v>
      </c>
      <c r="K242" t="s">
        <v>1208</v>
      </c>
      <c r="L242" t="s">
        <v>249</v>
      </c>
      <c r="M242" t="s">
        <v>1367</v>
      </c>
      <c r="R242" t="s">
        <v>7</v>
      </c>
      <c r="S242" t="s">
        <v>1216</v>
      </c>
      <c r="T242" t="s">
        <v>1613</v>
      </c>
    </row>
    <row r="243" spans="1:20" ht="12.75">
      <c r="A243">
        <f t="shared" si="15"/>
      </c>
      <c r="B243">
        <f t="shared" si="16"/>
      </c>
      <c r="E243" t="str">
        <f t="shared" si="18"/>
        <v>18620</v>
      </c>
      <c r="F243" t="str">
        <f t="shared" si="18"/>
        <v>37720</v>
      </c>
      <c r="G243" t="str">
        <f t="shared" si="18"/>
        <v>58480</v>
      </c>
      <c r="I243" t="s">
        <v>250</v>
      </c>
      <c r="J243" t="s">
        <v>7</v>
      </c>
      <c r="K243" t="s">
        <v>1209</v>
      </c>
      <c r="L243" t="s">
        <v>251</v>
      </c>
      <c r="M243" t="s">
        <v>1367</v>
      </c>
      <c r="R243" t="s">
        <v>7</v>
      </c>
      <c r="S243" t="s">
        <v>1211</v>
      </c>
      <c r="T243" t="s">
        <v>1614</v>
      </c>
    </row>
    <row r="244" spans="1:20" ht="12.75">
      <c r="A244">
        <f t="shared" si="15"/>
      </c>
      <c r="B244">
        <f t="shared" si="16"/>
      </c>
      <c r="E244" t="str">
        <f t="shared" si="18"/>
        <v>21860</v>
      </c>
      <c r="F244" t="str">
        <f t="shared" si="18"/>
        <v>44290</v>
      </c>
      <c r="G244" t="str">
        <f t="shared" si="18"/>
        <v>68640</v>
      </c>
      <c r="I244" t="s">
        <v>252</v>
      </c>
      <c r="J244" t="s">
        <v>7</v>
      </c>
      <c r="K244" t="s">
        <v>1210</v>
      </c>
      <c r="L244" t="s">
        <v>253</v>
      </c>
      <c r="M244" t="s">
        <v>1367</v>
      </c>
      <c r="R244" t="s">
        <v>7</v>
      </c>
      <c r="S244" t="s">
        <v>1212</v>
      </c>
      <c r="T244" t="s">
        <v>1615</v>
      </c>
    </row>
    <row r="245" spans="1:20" ht="12.75">
      <c r="A245">
        <f t="shared" si="15"/>
      </c>
      <c r="B245">
        <f t="shared" si="16"/>
      </c>
      <c r="I245" t="s">
        <v>25</v>
      </c>
      <c r="J245" t="s">
        <v>7</v>
      </c>
      <c r="K245" t="s">
        <v>19</v>
      </c>
      <c r="L245" t="s">
        <v>254</v>
      </c>
      <c r="M245" t="s">
        <v>20</v>
      </c>
      <c r="R245" t="s">
        <v>7</v>
      </c>
      <c r="S245" t="s">
        <v>1213</v>
      </c>
      <c r="T245" t="s">
        <v>1616</v>
      </c>
    </row>
    <row r="246" spans="1:20" ht="12.75">
      <c r="A246">
        <f t="shared" si="15"/>
      </c>
      <c r="B246">
        <f t="shared" si="16"/>
      </c>
      <c r="I246" t="s">
        <v>33</v>
      </c>
      <c r="J246" t="s">
        <v>7</v>
      </c>
      <c r="K246" t="s">
        <v>1214</v>
      </c>
      <c r="L246" t="s">
        <v>255</v>
      </c>
      <c r="M246" t="s">
        <v>327</v>
      </c>
      <c r="R246" t="s">
        <v>7</v>
      </c>
      <c r="S246" t="s">
        <v>1208</v>
      </c>
      <c r="T246" t="s">
        <v>1617</v>
      </c>
    </row>
    <row r="247" spans="1:20" ht="12.75">
      <c r="A247">
        <f t="shared" si="15"/>
      </c>
      <c r="B247">
        <f t="shared" si="16"/>
      </c>
      <c r="I247" t="s">
        <v>58</v>
      </c>
      <c r="J247" t="s">
        <v>7</v>
      </c>
      <c r="K247" t="s">
        <v>1215</v>
      </c>
      <c r="L247" t="s">
        <v>256</v>
      </c>
      <c r="M247" t="s">
        <v>327</v>
      </c>
      <c r="R247" t="s">
        <v>7</v>
      </c>
      <c r="S247" t="s">
        <v>1209</v>
      </c>
      <c r="T247" t="s">
        <v>1618</v>
      </c>
    </row>
    <row r="248" spans="1:20" ht="12.75">
      <c r="A248">
        <f t="shared" si="15"/>
      </c>
      <c r="B248">
        <f t="shared" si="16"/>
      </c>
      <c r="I248" t="s">
        <v>62</v>
      </c>
      <c r="J248" t="s">
        <v>7</v>
      </c>
      <c r="K248" t="s">
        <v>1216</v>
      </c>
      <c r="L248" t="s">
        <v>257</v>
      </c>
      <c r="M248" t="s">
        <v>327</v>
      </c>
      <c r="R248" t="s">
        <v>7</v>
      </c>
      <c r="S248" t="s">
        <v>1210</v>
      </c>
      <c r="T248" t="s">
        <v>1619</v>
      </c>
    </row>
    <row r="249" spans="1:20" ht="12.75">
      <c r="A249">
        <f t="shared" si="15"/>
      </c>
      <c r="B249">
        <f t="shared" si="16"/>
      </c>
      <c r="R249" t="s">
        <v>7</v>
      </c>
      <c r="S249" t="s">
        <v>1214</v>
      </c>
      <c r="T249" t="s">
        <v>1611</v>
      </c>
    </row>
    <row r="250" spans="1:2" ht="12.75">
      <c r="A250">
        <f t="shared" si="15"/>
      </c>
      <c r="B250">
        <f t="shared" si="16"/>
      </c>
    </row>
    <row r="251" spans="1:10" ht="12.75">
      <c r="A251">
        <f t="shared" si="15"/>
      </c>
      <c r="B251">
        <f t="shared" si="16"/>
      </c>
      <c r="I251" t="s">
        <v>40</v>
      </c>
      <c r="J251" t="s">
        <v>212</v>
      </c>
    </row>
    <row r="252" spans="1:15" ht="12.75">
      <c r="A252">
        <f t="shared" si="15"/>
      </c>
      <c r="B252">
        <f t="shared" si="16"/>
      </c>
      <c r="I252" t="s">
        <v>41</v>
      </c>
      <c r="J252" t="s">
        <v>42</v>
      </c>
      <c r="K252" t="s">
        <v>1620</v>
      </c>
      <c r="L252" t="s">
        <v>43</v>
      </c>
      <c r="M252">
        <v>0.1715001</v>
      </c>
      <c r="N252" t="s">
        <v>1251</v>
      </c>
      <c r="O252" t="s">
        <v>1621</v>
      </c>
    </row>
    <row r="253" spans="1:12" ht="12.75">
      <c r="A253">
        <f t="shared" si="15"/>
      </c>
      <c r="B253">
        <f t="shared" si="16"/>
      </c>
      <c r="I253" t="s">
        <v>1622</v>
      </c>
      <c r="J253" t="s">
        <v>1623</v>
      </c>
      <c r="L253" t="s">
        <v>1624</v>
      </c>
    </row>
    <row r="254" spans="1:12" ht="12.75">
      <c r="A254">
        <f t="shared" si="15"/>
      </c>
      <c r="B254">
        <f t="shared" si="16"/>
      </c>
      <c r="I254" t="s">
        <v>1625</v>
      </c>
      <c r="J254" t="s">
        <v>9</v>
      </c>
      <c r="L254" t="s">
        <v>1624</v>
      </c>
    </row>
    <row r="255" spans="1:12" ht="12.75">
      <c r="A255">
        <f t="shared" si="15"/>
      </c>
      <c r="B255">
        <f t="shared" si="16"/>
      </c>
      <c r="I255" t="s">
        <v>10</v>
      </c>
      <c r="J255" t="s">
        <v>11</v>
      </c>
      <c r="L255" t="s">
        <v>12</v>
      </c>
    </row>
    <row r="256" spans="1:12" ht="12.75">
      <c r="A256">
        <f t="shared" si="15"/>
      </c>
      <c r="B256">
        <f t="shared" si="16"/>
      </c>
      <c r="I256" t="s">
        <v>1342</v>
      </c>
      <c r="J256" t="s">
        <v>1626</v>
      </c>
      <c r="K256" t="s">
        <v>1627</v>
      </c>
      <c r="L256" t="s">
        <v>2</v>
      </c>
    </row>
    <row r="257" spans="1:12" ht="12.75">
      <c r="A257">
        <f t="shared" si="15"/>
      </c>
      <c r="B257">
        <f t="shared" si="16"/>
      </c>
      <c r="E257" t="s">
        <v>1164</v>
      </c>
      <c r="F257" t="s">
        <v>1205</v>
      </c>
      <c r="G257" t="s">
        <v>1163</v>
      </c>
      <c r="I257" t="s">
        <v>14</v>
      </c>
      <c r="J257" t="s">
        <v>15</v>
      </c>
      <c r="K257" t="s">
        <v>1205</v>
      </c>
      <c r="L257" t="s">
        <v>15</v>
      </c>
    </row>
    <row r="258" spans="1:10" ht="12.75">
      <c r="A258" t="str">
        <f t="shared" si="15"/>
        <v>EGP</v>
      </c>
      <c r="B258" t="str">
        <f t="shared" si="16"/>
        <v>CAI</v>
      </c>
      <c r="C258" t="s">
        <v>1017</v>
      </c>
      <c r="D258">
        <v>1</v>
      </c>
      <c r="E258" t="str">
        <f ca="1">VLOOKUP(E$9&amp;"RWSTAR"&amp;$D258,OFFSET($K258,0,0,MATCH(1,D261:D306,0),2),2,FALSE)</f>
        <v>18000R</v>
      </c>
      <c r="F258" t="str">
        <f ca="1">VLOOKUP(F$9&amp;"RWSTAR"&amp;$D258,OFFSET($K258,0,0,MATCH(1,D261:D306,0),2),2,FALSE)</f>
        <v>39000R</v>
      </c>
      <c r="G258" t="str">
        <f ca="1">VLOOKUP(G$9&amp;"RWSTAR"&amp;$D258,OFFSET($K258,0,0,MATCH(1,D261:D306,0),2),2,FALSE)</f>
        <v>61000R</v>
      </c>
      <c r="I258" t="s">
        <v>1342</v>
      </c>
      <c r="J258" t="s">
        <v>16</v>
      </c>
    </row>
    <row r="259" spans="1:12" ht="12.75">
      <c r="A259">
        <f t="shared" si="15"/>
      </c>
      <c r="B259">
        <f t="shared" si="16"/>
      </c>
      <c r="D259">
        <v>2</v>
      </c>
      <c r="E259" t="str">
        <f ca="1">VLOOKUP(E$9&amp;"RWSTAR"&amp;$D259,OFFSET($K259,0,0,MATCH(1,D261:D306,0),2),2,FALSE)</f>
        <v>21000R</v>
      </c>
      <c r="F259" t="str">
        <f ca="1">VLOOKUP(F$9&amp;"RWSTAR"&amp;$D259,OFFSET($K259,0,0,MATCH(1,D261:D306,0),2),2,FALSE)</f>
        <v>45000R</v>
      </c>
      <c r="G259" t="str">
        <f ca="1">VLOOKUP(G$9&amp;"RWSTAR"&amp;$D259,OFFSET($K259,0,0,MATCH(1,D261:D306,0),2),2,FALSE)</f>
        <v>70000R</v>
      </c>
      <c r="I259" t="s">
        <v>17</v>
      </c>
      <c r="J259" t="s">
        <v>1624</v>
      </c>
      <c r="K259" t="s">
        <v>1208</v>
      </c>
      <c r="L259" t="s">
        <v>309</v>
      </c>
    </row>
    <row r="260" spans="1:12" ht="12.75">
      <c r="A260">
        <f t="shared" si="15"/>
      </c>
      <c r="B260">
        <f t="shared" si="16"/>
      </c>
      <c r="D260">
        <v>3</v>
      </c>
      <c r="E260" t="str">
        <f ca="1">VLOOKUP(E$9&amp;"RWSTAR"&amp;$D260,OFFSET($K260,0,0,MATCH(1,D261:D306,0),2),2,FALSE)</f>
        <v>25000R</v>
      </c>
      <c r="F260" t="str">
        <f ca="1">VLOOKUP(F$9&amp;"RWSTAR"&amp;$D260,OFFSET($K260,0,0,MATCH(1,D261:D306,0),2),2,FALSE)</f>
        <v>53000R</v>
      </c>
      <c r="G260" t="str">
        <f ca="1">VLOOKUP(G$9&amp;"RWSTAR"&amp;$D260,OFFSET($K260,0,0,MATCH(1,D261:D306,0),2),2,FALSE)</f>
        <v>82000R</v>
      </c>
      <c r="I260" t="s">
        <v>1629</v>
      </c>
      <c r="J260" t="s">
        <v>1630</v>
      </c>
      <c r="K260" t="s">
        <v>1209</v>
      </c>
      <c r="L260" t="s">
        <v>310</v>
      </c>
    </row>
    <row r="261" spans="1:12" ht="12.75">
      <c r="A261">
        <f t="shared" si="15"/>
      </c>
      <c r="B261">
        <f t="shared" si="16"/>
      </c>
      <c r="I261" t="s">
        <v>21</v>
      </c>
      <c r="J261" t="s">
        <v>1624</v>
      </c>
      <c r="K261" t="s">
        <v>1210</v>
      </c>
      <c r="L261" t="s">
        <v>311</v>
      </c>
    </row>
    <row r="262" spans="1:12" ht="12.75">
      <c r="A262">
        <f t="shared" si="15"/>
      </c>
      <c r="B262">
        <f t="shared" si="16"/>
      </c>
      <c r="E262" t="str">
        <f aca="true" t="shared" si="19" ref="E262:G264">(LEFT(E258,LEN(E258)-1))</f>
        <v>18000</v>
      </c>
      <c r="F262" t="str">
        <f t="shared" si="19"/>
        <v>39000</v>
      </c>
      <c r="G262" t="str">
        <f t="shared" si="19"/>
        <v>61000</v>
      </c>
      <c r="I262" t="s">
        <v>1629</v>
      </c>
      <c r="J262" t="s">
        <v>1630</v>
      </c>
      <c r="K262" t="s">
        <v>1211</v>
      </c>
      <c r="L262" t="s">
        <v>312</v>
      </c>
    </row>
    <row r="263" spans="1:12" ht="12.75">
      <c r="A263">
        <f t="shared" si="15"/>
      </c>
      <c r="B263">
        <f t="shared" si="16"/>
      </c>
      <c r="E263" t="str">
        <f t="shared" si="19"/>
        <v>21000</v>
      </c>
      <c r="F263" t="str">
        <f t="shared" si="19"/>
        <v>45000</v>
      </c>
      <c r="G263" t="str">
        <f t="shared" si="19"/>
        <v>70000</v>
      </c>
      <c r="I263" t="s">
        <v>23</v>
      </c>
      <c r="J263" t="s">
        <v>1624</v>
      </c>
      <c r="K263" t="s">
        <v>1212</v>
      </c>
      <c r="L263" t="s">
        <v>313</v>
      </c>
    </row>
    <row r="264" spans="1:12" ht="12.75">
      <c r="A264">
        <f t="shared" si="15"/>
      </c>
      <c r="B264">
        <f t="shared" si="16"/>
      </c>
      <c r="E264" t="str">
        <f t="shared" si="19"/>
        <v>25000</v>
      </c>
      <c r="F264" t="str">
        <f t="shared" si="19"/>
        <v>53000</v>
      </c>
      <c r="G264" t="str">
        <f t="shared" si="19"/>
        <v>82000</v>
      </c>
      <c r="I264" t="s">
        <v>1629</v>
      </c>
      <c r="J264" t="s">
        <v>1630</v>
      </c>
      <c r="K264" t="s">
        <v>1213</v>
      </c>
      <c r="L264" t="s">
        <v>314</v>
      </c>
    </row>
    <row r="265" spans="1:26" ht="12.75">
      <c r="A265">
        <f t="shared" si="15"/>
      </c>
      <c r="B265">
        <f t="shared" si="16"/>
      </c>
      <c r="I265" t="s">
        <v>1633</v>
      </c>
      <c r="J265" t="s">
        <v>1634</v>
      </c>
      <c r="K265" t="s">
        <v>1214</v>
      </c>
      <c r="L265" t="s">
        <v>1446</v>
      </c>
      <c r="M265" t="s">
        <v>1636</v>
      </c>
      <c r="N265" t="s">
        <v>1637</v>
      </c>
      <c r="O265" t="s">
        <v>1638</v>
      </c>
      <c r="P265" t="s">
        <v>1639</v>
      </c>
      <c r="Q265" t="s">
        <v>1640</v>
      </c>
      <c r="R265" t="s">
        <v>1641</v>
      </c>
      <c r="S265" t="s">
        <v>1642</v>
      </c>
      <c r="T265" t="s">
        <v>1643</v>
      </c>
      <c r="U265" t="s">
        <v>1644</v>
      </c>
      <c r="V265" t="s">
        <v>1645</v>
      </c>
      <c r="W265" t="s">
        <v>1646</v>
      </c>
      <c r="X265" t="s">
        <v>1647</v>
      </c>
      <c r="Y265" t="s">
        <v>1634</v>
      </c>
      <c r="Z265" t="s">
        <v>1648</v>
      </c>
    </row>
    <row r="266" spans="1:12" ht="12.75">
      <c r="A266">
        <f aca="true" t="shared" si="20" ref="A266:A328">IF(J266="BASIS",I266,"")</f>
      </c>
      <c r="B266">
        <f t="shared" si="16"/>
      </c>
      <c r="I266" t="s">
        <v>1649</v>
      </c>
      <c r="K266" t="s">
        <v>1215</v>
      </c>
      <c r="L266" t="s">
        <v>315</v>
      </c>
    </row>
    <row r="267" spans="1:12" ht="12.75">
      <c r="A267">
        <f t="shared" si="20"/>
      </c>
      <c r="B267">
        <f aca="true" t="shared" si="21" ref="B267:B275">IF(A267&lt;&gt;"",LEFT(I263,3),"")</f>
      </c>
      <c r="I267" t="s">
        <v>1625</v>
      </c>
      <c r="J267" t="s">
        <v>9</v>
      </c>
      <c r="K267" t="s">
        <v>1216</v>
      </c>
      <c r="L267" t="s">
        <v>316</v>
      </c>
    </row>
    <row r="268" spans="1:12" ht="12.75">
      <c r="A268">
        <f t="shared" si="20"/>
      </c>
      <c r="B268">
        <f t="shared" si="21"/>
      </c>
      <c r="I268" t="s">
        <v>10</v>
      </c>
      <c r="J268" t="s">
        <v>11</v>
      </c>
      <c r="L268" t="s">
        <v>12</v>
      </c>
    </row>
    <row r="269" spans="1:12" ht="12.75">
      <c r="A269">
        <f t="shared" si="20"/>
      </c>
      <c r="B269">
        <f t="shared" si="21"/>
      </c>
      <c r="I269" t="s">
        <v>1342</v>
      </c>
      <c r="J269" t="s">
        <v>1626</v>
      </c>
      <c r="K269" t="s">
        <v>1627</v>
      </c>
      <c r="L269" t="s">
        <v>2</v>
      </c>
    </row>
    <row r="270" spans="1:12" ht="12.75">
      <c r="A270">
        <f t="shared" si="20"/>
      </c>
      <c r="B270">
        <f t="shared" si="21"/>
      </c>
      <c r="E270" t="s">
        <v>1164</v>
      </c>
      <c r="F270" t="s">
        <v>1205</v>
      </c>
      <c r="G270" t="s">
        <v>1163</v>
      </c>
      <c r="I270" t="s">
        <v>14</v>
      </c>
      <c r="J270" t="s">
        <v>15</v>
      </c>
      <c r="K270" t="s">
        <v>1205</v>
      </c>
      <c r="L270" t="s">
        <v>15</v>
      </c>
    </row>
    <row r="271" spans="1:10" ht="12.75">
      <c r="A271" t="str">
        <f t="shared" si="20"/>
        <v>EGP</v>
      </c>
      <c r="B271" t="str">
        <f t="shared" si="21"/>
        <v>CAI</v>
      </c>
      <c r="C271" t="s">
        <v>1017</v>
      </c>
      <c r="D271">
        <v>1</v>
      </c>
      <c r="E271" t="str">
        <f ca="1">VLOOKUP(E$9&amp;"RWSTAR"&amp;$D271,OFFSET($K271,0,0,MATCH(1,D274:D319,0),2),2,FALSE)</f>
        <v>18000R</v>
      </c>
      <c r="F271" t="str">
        <f ca="1">VLOOKUP(F$9&amp;"RWSTAR"&amp;$D271,OFFSET($K271,0,0,MATCH(1,D274:D319,0),2),2,FALSE)</f>
        <v>39000R</v>
      </c>
      <c r="G271" t="str">
        <f ca="1">VLOOKUP(G$9&amp;"RWSTAR"&amp;$D271,OFFSET($K271,0,0,MATCH(1,D274:D319,0),2),2,FALSE)</f>
        <v>61000R</v>
      </c>
      <c r="I271" t="s">
        <v>1342</v>
      </c>
      <c r="J271" t="s">
        <v>16</v>
      </c>
    </row>
    <row r="272" spans="1:12" ht="12.75">
      <c r="A272">
        <f t="shared" si="20"/>
      </c>
      <c r="B272">
        <f t="shared" si="21"/>
      </c>
      <c r="D272">
        <v>2</v>
      </c>
      <c r="E272" t="str">
        <f ca="1">VLOOKUP(E$9&amp;"RWSTAR"&amp;$D272,OFFSET($K272,0,0,MATCH(1,D274:D319,0),2),2,FALSE)</f>
        <v>21000R</v>
      </c>
      <c r="F272" t="str">
        <f ca="1">VLOOKUP(F$9&amp;"RWSTAR"&amp;$D272,OFFSET($K272,0,0,MATCH(1,D274:D319,0),2),2,FALSE)</f>
        <v>45000R</v>
      </c>
      <c r="G272" t="str">
        <f ca="1">VLOOKUP(G$9&amp;"RWSTAR"&amp;$D272,OFFSET($K272,0,0,MATCH(1,D274:D319,0),2),2,FALSE)</f>
        <v>70000R</v>
      </c>
      <c r="I272" t="s">
        <v>17</v>
      </c>
      <c r="J272" t="s">
        <v>1624</v>
      </c>
      <c r="K272" t="s">
        <v>1208</v>
      </c>
      <c r="L272" t="s">
        <v>309</v>
      </c>
    </row>
    <row r="273" spans="1:12" ht="12.75">
      <c r="A273">
        <f t="shared" si="20"/>
      </c>
      <c r="B273">
        <f t="shared" si="21"/>
      </c>
      <c r="D273">
        <v>3</v>
      </c>
      <c r="E273" t="str">
        <f ca="1">VLOOKUP(E$9&amp;"RWSTAR"&amp;$D273,OFFSET($K273,0,0,MATCH(1,D274:D319,0),2),2,FALSE)</f>
        <v>25000R</v>
      </c>
      <c r="F273" t="str">
        <f ca="1">VLOOKUP(F$9&amp;"RWSTAR"&amp;$D273,OFFSET($K273,0,0,MATCH(1,D274:D319,0),2),2,FALSE)</f>
        <v>53000R</v>
      </c>
      <c r="G273" t="str">
        <f ca="1">VLOOKUP(G$9&amp;"RWSTAR"&amp;$D273,OFFSET($K273,0,0,MATCH(1,D274:D319,0),2),2,FALSE)</f>
        <v>82000R</v>
      </c>
      <c r="I273" t="s">
        <v>1629</v>
      </c>
      <c r="J273" t="s">
        <v>1630</v>
      </c>
      <c r="K273" t="s">
        <v>1209</v>
      </c>
      <c r="L273" t="s">
        <v>310</v>
      </c>
    </row>
    <row r="274" spans="1:12" ht="12.75">
      <c r="A274">
        <f t="shared" si="20"/>
      </c>
      <c r="B274">
        <f t="shared" si="21"/>
      </c>
      <c r="I274" t="s">
        <v>21</v>
      </c>
      <c r="J274" t="s">
        <v>1650</v>
      </c>
      <c r="K274" t="s">
        <v>1210</v>
      </c>
      <c r="L274" t="s">
        <v>311</v>
      </c>
    </row>
    <row r="275" spans="1:12" ht="12.75">
      <c r="A275">
        <f t="shared" si="20"/>
      </c>
      <c r="B275">
        <f t="shared" si="21"/>
      </c>
      <c r="E275" t="str">
        <f aca="true" t="shared" si="22" ref="E275:G277">(LEFT(E271,LEN(E271)-1))</f>
        <v>18000</v>
      </c>
      <c r="F275" t="str">
        <f t="shared" si="22"/>
        <v>39000</v>
      </c>
      <c r="G275" t="str">
        <f t="shared" si="22"/>
        <v>61000</v>
      </c>
      <c r="I275" t="s">
        <v>23</v>
      </c>
      <c r="J275" t="s">
        <v>1651</v>
      </c>
      <c r="K275" t="s">
        <v>1211</v>
      </c>
      <c r="L275" t="s">
        <v>312</v>
      </c>
    </row>
    <row r="276" spans="1:12" ht="12.75">
      <c r="A276">
        <f t="shared" si="20"/>
      </c>
      <c r="B276">
        <f aca="true" t="shared" si="23" ref="B276:B328">IF(A276&lt;&gt;"",LEFT(I272,3),"")</f>
      </c>
      <c r="E276" t="str">
        <f t="shared" si="22"/>
        <v>21000</v>
      </c>
      <c r="F276" t="str">
        <f t="shared" si="22"/>
        <v>45000</v>
      </c>
      <c r="G276" t="str">
        <f t="shared" si="22"/>
        <v>70000</v>
      </c>
      <c r="I276" t="s">
        <v>25</v>
      </c>
      <c r="J276" t="s">
        <v>1650</v>
      </c>
      <c r="K276" t="s">
        <v>1212</v>
      </c>
      <c r="L276" t="s">
        <v>313</v>
      </c>
    </row>
    <row r="277" spans="1:12" ht="12.75">
      <c r="A277">
        <f t="shared" si="20"/>
      </c>
      <c r="B277">
        <f t="shared" si="23"/>
      </c>
      <c r="E277" t="str">
        <f t="shared" si="22"/>
        <v>25000</v>
      </c>
      <c r="F277" t="str">
        <f t="shared" si="22"/>
        <v>53000</v>
      </c>
      <c r="G277" t="str">
        <f t="shared" si="22"/>
        <v>82000</v>
      </c>
      <c r="I277" t="s">
        <v>27</v>
      </c>
      <c r="J277" t="s">
        <v>1651</v>
      </c>
      <c r="K277" t="s">
        <v>1213</v>
      </c>
      <c r="L277" t="s">
        <v>314</v>
      </c>
    </row>
    <row r="278" spans="1:12" ht="12.75">
      <c r="A278">
        <f t="shared" si="20"/>
      </c>
      <c r="B278">
        <f t="shared" si="23"/>
      </c>
      <c r="I278" t="s">
        <v>29</v>
      </c>
      <c r="J278" t="s">
        <v>1624</v>
      </c>
      <c r="K278" t="s">
        <v>1214</v>
      </c>
      <c r="L278" t="s">
        <v>1446</v>
      </c>
    </row>
    <row r="279" spans="1:12" ht="12.75">
      <c r="A279">
        <f t="shared" si="20"/>
      </c>
      <c r="B279">
        <f t="shared" si="23"/>
      </c>
      <c r="I279" t="s">
        <v>1629</v>
      </c>
      <c r="J279" t="s">
        <v>1630</v>
      </c>
      <c r="K279" t="s">
        <v>1215</v>
      </c>
      <c r="L279" t="s">
        <v>315</v>
      </c>
    </row>
    <row r="280" spans="1:12" ht="12.75">
      <c r="A280">
        <f t="shared" si="20"/>
      </c>
      <c r="B280">
        <f t="shared" si="23"/>
      </c>
      <c r="I280" t="s">
        <v>31</v>
      </c>
      <c r="J280" t="s">
        <v>1650</v>
      </c>
      <c r="K280" t="s">
        <v>1216</v>
      </c>
      <c r="L280" t="s">
        <v>316</v>
      </c>
    </row>
    <row r="281" spans="1:12" ht="12.75">
      <c r="A281">
        <f t="shared" si="20"/>
      </c>
      <c r="B281">
        <f t="shared" si="23"/>
      </c>
      <c r="I281" t="s">
        <v>33</v>
      </c>
      <c r="J281" t="s">
        <v>1624</v>
      </c>
      <c r="K281" t="s">
        <v>1632</v>
      </c>
      <c r="L281" t="s">
        <v>408</v>
      </c>
    </row>
    <row r="282" spans="1:10" ht="12.75">
      <c r="A282">
        <f t="shared" si="20"/>
      </c>
      <c r="B282">
        <f t="shared" si="23"/>
      </c>
      <c r="I282" t="s">
        <v>1652</v>
      </c>
      <c r="J282" t="s">
        <v>7</v>
      </c>
    </row>
    <row r="283" spans="1:12" ht="12.75">
      <c r="A283">
        <f t="shared" si="20"/>
      </c>
      <c r="B283">
        <f t="shared" si="23"/>
      </c>
      <c r="I283" t="s">
        <v>1653</v>
      </c>
      <c r="J283" t="s">
        <v>9</v>
      </c>
      <c r="L283" t="s">
        <v>7</v>
      </c>
    </row>
    <row r="284" spans="1:12" ht="12.75">
      <c r="A284">
        <f t="shared" si="20"/>
      </c>
      <c r="B284">
        <f t="shared" si="23"/>
      </c>
      <c r="I284" t="s">
        <v>10</v>
      </c>
      <c r="J284" t="s">
        <v>11</v>
      </c>
      <c r="L284" t="s">
        <v>12</v>
      </c>
    </row>
    <row r="285" spans="1:10" ht="12.75">
      <c r="A285">
        <f t="shared" si="20"/>
      </c>
      <c r="B285">
        <f t="shared" si="23"/>
      </c>
      <c r="I285" t="s">
        <v>13</v>
      </c>
      <c r="J285" t="s">
        <v>2</v>
      </c>
    </row>
    <row r="286" spans="1:12" ht="12.75">
      <c r="A286">
        <f t="shared" si="20"/>
      </c>
      <c r="B286">
        <f t="shared" si="23"/>
      </c>
      <c r="E286" t="s">
        <v>1164</v>
      </c>
      <c r="F286" t="s">
        <v>1205</v>
      </c>
      <c r="G286" t="s">
        <v>1163</v>
      </c>
      <c r="I286" t="s">
        <v>14</v>
      </c>
      <c r="J286" t="s">
        <v>15</v>
      </c>
      <c r="K286" t="s">
        <v>1205</v>
      </c>
      <c r="L286" t="s">
        <v>15</v>
      </c>
    </row>
    <row r="287" spans="1:10" ht="12.75">
      <c r="A287" t="str">
        <f t="shared" si="20"/>
        <v>LVL</v>
      </c>
      <c r="B287" t="str">
        <f t="shared" si="23"/>
        <v>RIX</v>
      </c>
      <c r="C287" t="s">
        <v>1424</v>
      </c>
      <c r="D287">
        <v>1</v>
      </c>
      <c r="E287" t="str">
        <f ca="1">VLOOKUP(E$9&amp;"RWSTAR"&amp;$D287,OFFSET($K287,0,0,MATCH(1,D290:D335,0),2),2,FALSE)</f>
        <v>1590R</v>
      </c>
      <c r="F287" t="str">
        <f ca="1">VLOOKUP(F$9&amp;"RWSTAR"&amp;$D287,OFFSET($K287,0,0,MATCH(1,D290:D335,0),2),2,FALSE)</f>
        <v>3480R</v>
      </c>
      <c r="G287" t="str">
        <f ca="1">VLOOKUP(G$9&amp;"RWSTAR"&amp;$D287,OFFSET($K287,0,0,MATCH(1,D290:D335,0),2),2,FALSE)</f>
        <v>5010R</v>
      </c>
      <c r="I287" t="s">
        <v>1320</v>
      </c>
      <c r="J287" t="s">
        <v>16</v>
      </c>
    </row>
    <row r="288" spans="1:12" ht="12.75">
      <c r="A288">
        <f t="shared" si="20"/>
      </c>
      <c r="B288">
        <f t="shared" si="23"/>
      </c>
      <c r="D288">
        <v>2</v>
      </c>
      <c r="E288" t="str">
        <f ca="1">VLOOKUP(E$9&amp;"RWSTAR"&amp;$D288,OFFSET($K288,0,0,MATCH(1,D290:D335,0),2),2,FALSE)</f>
        <v>1830R</v>
      </c>
      <c r="F288" t="str">
        <f ca="1">VLOOKUP(F$9&amp;"RWSTAR"&amp;$D288,OFFSET($K288,0,0,MATCH(1,D290:D335,0),2),2,FALSE)</f>
        <v>4010R</v>
      </c>
      <c r="G288" t="str">
        <f ca="1">VLOOKUP(G$9&amp;"RWSTAR"&amp;$D288,OFFSET($K288,0,0,MATCH(1,D290:D335,0),2),2,FALSE)</f>
        <v>5770R</v>
      </c>
      <c r="I288" t="s">
        <v>17</v>
      </c>
      <c r="J288" t="s">
        <v>7</v>
      </c>
      <c r="K288" t="s">
        <v>19</v>
      </c>
      <c r="L288" t="s">
        <v>412</v>
      </c>
    </row>
    <row r="289" spans="1:12" ht="12.75">
      <c r="A289">
        <f t="shared" si="20"/>
      </c>
      <c r="B289">
        <f t="shared" si="23"/>
      </c>
      <c r="D289">
        <v>3</v>
      </c>
      <c r="E289" t="str">
        <f ca="1">VLOOKUP(E$9&amp;"RWSTAR"&amp;$D289,OFFSET($K289,0,0,MATCH(1,D290:D335,0),2),2,FALSE)</f>
        <v>2150R</v>
      </c>
      <c r="F289" t="str">
        <f ca="1">VLOOKUP(F$9&amp;"RWSTAR"&amp;$D289,OFFSET($K289,0,0,MATCH(1,D290:D335,0),2),2,FALSE)</f>
        <v>4700R</v>
      </c>
      <c r="G289" t="str">
        <f ca="1">VLOOKUP(G$9&amp;"RWSTAR"&amp;$D289,OFFSET($K289,0,0,MATCH(1,D290:D335,0),2),2,FALSE)</f>
        <v>6770R</v>
      </c>
      <c r="I289" t="s">
        <v>21</v>
      </c>
      <c r="J289" t="s">
        <v>7</v>
      </c>
      <c r="K289" t="s">
        <v>1214</v>
      </c>
      <c r="L289" t="s">
        <v>1096</v>
      </c>
    </row>
    <row r="290" spans="1:12" ht="12.75">
      <c r="A290">
        <f t="shared" si="20"/>
      </c>
      <c r="B290">
        <f t="shared" si="23"/>
      </c>
      <c r="I290" t="s">
        <v>23</v>
      </c>
      <c r="J290" t="s">
        <v>7</v>
      </c>
      <c r="K290" t="s">
        <v>1215</v>
      </c>
      <c r="L290" t="s">
        <v>1097</v>
      </c>
    </row>
    <row r="291" spans="1:12" ht="12.75">
      <c r="A291">
        <f t="shared" si="20"/>
      </c>
      <c r="B291">
        <f t="shared" si="23"/>
      </c>
      <c r="E291" t="str">
        <f aca="true" t="shared" si="24" ref="E291:G293">(LEFT(E287,LEN(E287)-1))</f>
        <v>1590</v>
      </c>
      <c r="F291" t="str">
        <f t="shared" si="24"/>
        <v>3480</v>
      </c>
      <c r="G291" t="str">
        <f t="shared" si="24"/>
        <v>5010</v>
      </c>
      <c r="I291" t="s">
        <v>25</v>
      </c>
      <c r="J291" t="s">
        <v>7</v>
      </c>
      <c r="K291" t="s">
        <v>1216</v>
      </c>
      <c r="L291" t="s">
        <v>1098</v>
      </c>
    </row>
    <row r="292" spans="1:12" ht="12.75">
      <c r="A292">
        <f t="shared" si="20"/>
      </c>
      <c r="B292">
        <f t="shared" si="23"/>
      </c>
      <c r="E292" t="str">
        <f t="shared" si="24"/>
        <v>1830</v>
      </c>
      <c r="F292" t="str">
        <f t="shared" si="24"/>
        <v>4010</v>
      </c>
      <c r="G292" t="str">
        <f t="shared" si="24"/>
        <v>5770</v>
      </c>
      <c r="I292" t="s">
        <v>27</v>
      </c>
      <c r="J292" t="s">
        <v>7</v>
      </c>
      <c r="K292" t="s">
        <v>1211</v>
      </c>
      <c r="L292" t="s">
        <v>1099</v>
      </c>
    </row>
    <row r="293" spans="1:12" ht="12.75">
      <c r="A293">
        <f t="shared" si="20"/>
      </c>
      <c r="B293">
        <f t="shared" si="23"/>
      </c>
      <c r="E293" t="str">
        <f t="shared" si="24"/>
        <v>2150</v>
      </c>
      <c r="F293" t="str">
        <f t="shared" si="24"/>
        <v>4700</v>
      </c>
      <c r="G293" t="str">
        <f t="shared" si="24"/>
        <v>6770</v>
      </c>
      <c r="I293" t="s">
        <v>29</v>
      </c>
      <c r="J293" t="s">
        <v>7</v>
      </c>
      <c r="K293" t="s">
        <v>1212</v>
      </c>
      <c r="L293" t="s">
        <v>1100</v>
      </c>
    </row>
    <row r="294" spans="1:12" ht="12.75">
      <c r="A294">
        <f t="shared" si="20"/>
      </c>
      <c r="B294">
        <f t="shared" si="23"/>
      </c>
      <c r="I294" t="s">
        <v>31</v>
      </c>
      <c r="J294" t="s">
        <v>7</v>
      </c>
      <c r="K294" t="s">
        <v>1213</v>
      </c>
      <c r="L294" t="s">
        <v>1101</v>
      </c>
    </row>
    <row r="295" spans="1:12" ht="12.75">
      <c r="A295">
        <f t="shared" si="20"/>
      </c>
      <c r="B295">
        <f t="shared" si="23"/>
      </c>
      <c r="I295" t="s">
        <v>33</v>
      </c>
      <c r="J295" t="s">
        <v>7</v>
      </c>
      <c r="K295" t="s">
        <v>1208</v>
      </c>
      <c r="L295" t="s">
        <v>1102</v>
      </c>
    </row>
    <row r="296" spans="1:12" ht="12.75">
      <c r="A296">
        <f t="shared" si="20"/>
      </c>
      <c r="B296">
        <f t="shared" si="23"/>
      </c>
      <c r="I296" t="s">
        <v>35</v>
      </c>
      <c r="J296" t="s">
        <v>7</v>
      </c>
      <c r="K296" t="s">
        <v>1209</v>
      </c>
      <c r="L296" t="s">
        <v>1103</v>
      </c>
    </row>
    <row r="297" spans="1:12" ht="12.75">
      <c r="A297">
        <f t="shared" si="20"/>
      </c>
      <c r="B297">
        <f t="shared" si="23"/>
      </c>
      <c r="I297" t="s">
        <v>37</v>
      </c>
      <c r="J297" t="s">
        <v>7</v>
      </c>
      <c r="K297" t="s">
        <v>1210</v>
      </c>
      <c r="L297" t="s">
        <v>1104</v>
      </c>
    </row>
    <row r="298" spans="1:13" ht="12.75">
      <c r="A298">
        <f t="shared" si="20"/>
      </c>
      <c r="B298">
        <f t="shared" si="23"/>
      </c>
      <c r="I298" t="s">
        <v>21</v>
      </c>
      <c r="J298" t="s">
        <v>7</v>
      </c>
      <c r="K298" t="s">
        <v>1214</v>
      </c>
      <c r="L298" t="s">
        <v>413</v>
      </c>
      <c r="M298" t="s">
        <v>39</v>
      </c>
    </row>
    <row r="299" spans="1:2" ht="12.75">
      <c r="A299">
        <f t="shared" si="20"/>
      </c>
      <c r="B299">
        <f t="shared" si="23"/>
      </c>
    </row>
    <row r="300" spans="1:10" ht="12.75">
      <c r="A300">
        <f t="shared" si="20"/>
      </c>
      <c r="B300">
        <f t="shared" si="23"/>
      </c>
      <c r="I300" t="s">
        <v>40</v>
      </c>
      <c r="J300" t="s">
        <v>213</v>
      </c>
    </row>
    <row r="301" spans="1:14" ht="12.75">
      <c r="A301">
        <f t="shared" si="20"/>
      </c>
      <c r="B301">
        <f t="shared" si="23"/>
      </c>
      <c r="I301" t="s">
        <v>41</v>
      </c>
      <c r="J301" t="s">
        <v>42</v>
      </c>
      <c r="K301" t="s">
        <v>1654</v>
      </c>
      <c r="L301" t="s">
        <v>43</v>
      </c>
      <c r="M301">
        <v>1.8501388</v>
      </c>
      <c r="N301" t="s">
        <v>1251</v>
      </c>
    </row>
    <row r="302" spans="1:10" ht="12.75">
      <c r="A302">
        <f t="shared" si="20"/>
      </c>
      <c r="B302">
        <f t="shared" si="23"/>
      </c>
      <c r="I302" t="s">
        <v>1655</v>
      </c>
      <c r="J302" t="s">
        <v>7</v>
      </c>
    </row>
    <row r="303" spans="1:12" ht="12.75">
      <c r="A303">
        <f t="shared" si="20"/>
      </c>
      <c r="B303">
        <f t="shared" si="23"/>
      </c>
      <c r="I303" t="s">
        <v>1656</v>
      </c>
      <c r="J303" t="s">
        <v>9</v>
      </c>
      <c r="L303" t="s">
        <v>7</v>
      </c>
    </row>
    <row r="304" spans="1:12" ht="12.75">
      <c r="A304">
        <f t="shared" si="20"/>
      </c>
      <c r="B304">
        <f t="shared" si="23"/>
      </c>
      <c r="I304" t="s">
        <v>10</v>
      </c>
      <c r="J304" t="s">
        <v>11</v>
      </c>
      <c r="L304" t="s">
        <v>12</v>
      </c>
    </row>
    <row r="305" spans="1:10" ht="12.75">
      <c r="A305">
        <f t="shared" si="20"/>
      </c>
      <c r="B305">
        <f t="shared" si="23"/>
      </c>
      <c r="I305" t="s">
        <v>13</v>
      </c>
      <c r="J305" t="s">
        <v>2</v>
      </c>
    </row>
    <row r="306" spans="1:12" ht="12.75">
      <c r="A306">
        <f t="shared" si="20"/>
      </c>
      <c r="B306">
        <f t="shared" si="23"/>
      </c>
      <c r="E306" t="s">
        <v>1164</v>
      </c>
      <c r="F306" t="s">
        <v>1205</v>
      </c>
      <c r="G306" t="s">
        <v>1163</v>
      </c>
      <c r="I306" t="s">
        <v>14</v>
      </c>
      <c r="J306" t="s">
        <v>15</v>
      </c>
      <c r="K306" t="s">
        <v>1205</v>
      </c>
      <c r="L306" t="s">
        <v>15</v>
      </c>
    </row>
    <row r="307" spans="1:10" ht="12.75">
      <c r="A307" t="str">
        <f t="shared" si="20"/>
        <v>SEK</v>
      </c>
      <c r="B307" t="str">
        <f t="shared" si="23"/>
        <v>STO</v>
      </c>
      <c r="C307" t="s">
        <v>1010</v>
      </c>
      <c r="D307">
        <v>1</v>
      </c>
      <c r="E307" t="str">
        <f ca="1">VLOOKUP(E$9&amp;"RWSTAR"&amp;$D307,OFFSET($K307,0,0,MATCH(1,D310:D355,0),2),2,FALSE)</f>
        <v>19060R</v>
      </c>
      <c r="F307" t="str">
        <f ca="1">VLOOKUP(F$9&amp;"RWSTAR"&amp;$D307,OFFSET($K307,0,0,MATCH(1,D310:D355,0),2),2,FALSE)</f>
        <v>41520R</v>
      </c>
      <c r="G307" t="str">
        <f ca="1">VLOOKUP(G$9&amp;"RWSTAR"&amp;$D307,OFFSET($K307,0,0,MATCH(1,D310:D355,0),2),2,FALSE)</f>
        <v>64310R</v>
      </c>
      <c r="I307" t="s">
        <v>1324</v>
      </c>
      <c r="J307" t="s">
        <v>16</v>
      </c>
    </row>
    <row r="308" spans="1:19" ht="12.75">
      <c r="A308">
        <f t="shared" si="20"/>
      </c>
      <c r="B308">
        <f t="shared" si="23"/>
      </c>
      <c r="D308">
        <v>2</v>
      </c>
      <c r="E308" t="str">
        <f ca="1">VLOOKUP(E$9&amp;"RWSTAR"&amp;$D308,OFFSET($K308,0,0,MATCH(1,D310:D355,0),2),2,FALSE)</f>
        <v>23460R</v>
      </c>
      <c r="F308" t="str">
        <f ca="1">VLOOKUP(F$9&amp;"RWSTAR"&amp;$D308,OFFSET($K308,0,0,MATCH(1,D310:D355,0),2),2,FALSE)</f>
        <v>47730R</v>
      </c>
      <c r="G308" t="str">
        <f ca="1">VLOOKUP(G$9&amp;"RWSTAR"&amp;$D308,OFFSET($K308,0,0,MATCH(1,D310:D355,0),2),2,FALSE)</f>
        <v>73960R</v>
      </c>
      <c r="I308" t="s">
        <v>17</v>
      </c>
      <c r="K308" t="s">
        <v>1208</v>
      </c>
      <c r="L308" t="s">
        <v>1057</v>
      </c>
      <c r="Q308" t="s">
        <v>7</v>
      </c>
      <c r="R308" t="s">
        <v>19</v>
      </c>
      <c r="S308" t="s">
        <v>1657</v>
      </c>
    </row>
    <row r="309" spans="1:19" ht="12.75">
      <c r="A309">
        <f t="shared" si="20"/>
      </c>
      <c r="B309">
        <f t="shared" si="23"/>
      </c>
      <c r="D309">
        <v>3</v>
      </c>
      <c r="E309" t="str">
        <f ca="1">VLOOKUP(E$9&amp;"RWSTAR"&amp;$D309,OFFSET($K309,0,0,MATCH(1,D310:D355,0),2),2,FALSE)</f>
        <v>27540R</v>
      </c>
      <c r="F309" t="str">
        <f ca="1">VLOOKUP(F$9&amp;"RWSTAR"&amp;$D309,OFFSET($K309,0,0,MATCH(1,D310:D355,0),2),2,FALSE)</f>
        <v>56030R</v>
      </c>
      <c r="G309" t="str">
        <f ca="1">VLOOKUP(G$9&amp;"RWSTAR"&amp;$D309,OFFSET($K309,0,0,MATCH(1,D310:D355,0),2),2,FALSE)</f>
        <v>86840R</v>
      </c>
      <c r="I309" t="s">
        <v>21</v>
      </c>
      <c r="K309" t="s">
        <v>1209</v>
      </c>
      <c r="L309" t="s">
        <v>1058</v>
      </c>
      <c r="Q309" t="s">
        <v>7</v>
      </c>
      <c r="R309" t="s">
        <v>1214</v>
      </c>
      <c r="S309" t="s">
        <v>1658</v>
      </c>
    </row>
    <row r="310" spans="1:19" ht="12.75">
      <c r="A310">
        <f t="shared" si="20"/>
      </c>
      <c r="B310">
        <f t="shared" si="23"/>
      </c>
      <c r="I310" t="s">
        <v>23</v>
      </c>
      <c r="K310" t="s">
        <v>1210</v>
      </c>
      <c r="L310" t="s">
        <v>1059</v>
      </c>
      <c r="Q310" t="s">
        <v>7</v>
      </c>
      <c r="R310" t="s">
        <v>1215</v>
      </c>
      <c r="S310" t="s">
        <v>1659</v>
      </c>
    </row>
    <row r="311" spans="1:19" ht="12.75">
      <c r="A311">
        <f t="shared" si="20"/>
      </c>
      <c r="B311">
        <f t="shared" si="23"/>
      </c>
      <c r="E311" t="str">
        <f aca="true" t="shared" si="25" ref="E311:G313">(LEFT(E307,LEN(E307)-1))</f>
        <v>19060</v>
      </c>
      <c r="F311" t="str">
        <f t="shared" si="25"/>
        <v>41520</v>
      </c>
      <c r="G311" t="str">
        <f t="shared" si="25"/>
        <v>64310</v>
      </c>
      <c r="I311" t="s">
        <v>25</v>
      </c>
      <c r="K311" t="s">
        <v>1211</v>
      </c>
      <c r="L311" t="s">
        <v>1060</v>
      </c>
      <c r="Q311" t="s">
        <v>7</v>
      </c>
      <c r="R311" t="s">
        <v>1216</v>
      </c>
      <c r="S311" t="s">
        <v>1660</v>
      </c>
    </row>
    <row r="312" spans="1:19" ht="12.75">
      <c r="A312">
        <f t="shared" si="20"/>
      </c>
      <c r="B312">
        <f t="shared" si="23"/>
      </c>
      <c r="E312" t="str">
        <f t="shared" si="25"/>
        <v>23460</v>
      </c>
      <c r="F312" t="str">
        <f t="shared" si="25"/>
        <v>47730</v>
      </c>
      <c r="G312" t="str">
        <f t="shared" si="25"/>
        <v>73960</v>
      </c>
      <c r="I312" t="s">
        <v>27</v>
      </c>
      <c r="K312" t="s">
        <v>1212</v>
      </c>
      <c r="L312" t="s">
        <v>1061</v>
      </c>
      <c r="Q312" t="s">
        <v>7</v>
      </c>
      <c r="R312" t="s">
        <v>1211</v>
      </c>
      <c r="S312" t="s">
        <v>1661</v>
      </c>
    </row>
    <row r="313" spans="1:19" ht="12.75">
      <c r="A313">
        <f t="shared" si="20"/>
      </c>
      <c r="B313">
        <f t="shared" si="23"/>
      </c>
      <c r="E313" t="str">
        <f t="shared" si="25"/>
        <v>27540</v>
      </c>
      <c r="F313" t="str">
        <f t="shared" si="25"/>
        <v>56030</v>
      </c>
      <c r="G313" t="str">
        <f t="shared" si="25"/>
        <v>86840</v>
      </c>
      <c r="I313" t="s">
        <v>29</v>
      </c>
      <c r="K313" t="s">
        <v>1213</v>
      </c>
      <c r="L313" t="s">
        <v>1062</v>
      </c>
      <c r="Q313" t="s">
        <v>7</v>
      </c>
      <c r="R313" t="s">
        <v>1212</v>
      </c>
      <c r="S313" t="s">
        <v>1662</v>
      </c>
    </row>
    <row r="314" spans="1:19" ht="12.75">
      <c r="A314">
        <f t="shared" si="20"/>
      </c>
      <c r="B314">
        <f t="shared" si="23"/>
      </c>
      <c r="I314" t="s">
        <v>31</v>
      </c>
      <c r="K314" t="s">
        <v>1214</v>
      </c>
      <c r="L314" t="s">
        <v>318</v>
      </c>
      <c r="Q314" t="s">
        <v>7</v>
      </c>
      <c r="R314" t="s">
        <v>1213</v>
      </c>
      <c r="S314" t="s">
        <v>1663</v>
      </c>
    </row>
    <row r="315" spans="1:19" ht="12.75">
      <c r="A315">
        <f t="shared" si="20"/>
      </c>
      <c r="B315">
        <f t="shared" si="23"/>
      </c>
      <c r="I315" t="s">
        <v>33</v>
      </c>
      <c r="K315" t="s">
        <v>1215</v>
      </c>
      <c r="L315" t="s">
        <v>1063</v>
      </c>
      <c r="Q315" t="s">
        <v>7</v>
      </c>
      <c r="R315" t="s">
        <v>1208</v>
      </c>
      <c r="S315" t="s">
        <v>1664</v>
      </c>
    </row>
    <row r="316" spans="1:19" ht="12.75">
      <c r="A316">
        <f t="shared" si="20"/>
      </c>
      <c r="B316">
        <f t="shared" si="23"/>
      </c>
      <c r="I316" t="s">
        <v>35</v>
      </c>
      <c r="K316" t="s">
        <v>1216</v>
      </c>
      <c r="L316" t="s">
        <v>1064</v>
      </c>
      <c r="Q316" t="s">
        <v>7</v>
      </c>
      <c r="R316" t="s">
        <v>1209</v>
      </c>
      <c r="S316" t="s">
        <v>1665</v>
      </c>
    </row>
    <row r="317" spans="1:19" ht="12.75">
      <c r="A317">
        <f t="shared" si="20"/>
      </c>
      <c r="B317">
        <f t="shared" si="23"/>
      </c>
      <c r="I317" t="s">
        <v>37</v>
      </c>
      <c r="Q317" t="s">
        <v>7</v>
      </c>
      <c r="R317" t="s">
        <v>1210</v>
      </c>
      <c r="S317" t="s">
        <v>1666</v>
      </c>
    </row>
    <row r="318" spans="1:19" ht="12.75">
      <c r="A318">
        <f t="shared" si="20"/>
      </c>
      <c r="B318">
        <f t="shared" si="23"/>
      </c>
      <c r="I318" t="s">
        <v>21</v>
      </c>
      <c r="M318" t="s">
        <v>39</v>
      </c>
      <c r="Q318" t="s">
        <v>7</v>
      </c>
      <c r="R318" t="s">
        <v>1214</v>
      </c>
      <c r="S318" t="s">
        <v>1658</v>
      </c>
    </row>
    <row r="319" spans="1:2" ht="12.75">
      <c r="A319">
        <f t="shared" si="20"/>
      </c>
      <c r="B319">
        <f t="shared" si="23"/>
      </c>
    </row>
    <row r="320" spans="1:10" ht="12.75">
      <c r="A320">
        <f t="shared" si="20"/>
      </c>
      <c r="B320">
        <f t="shared" si="23"/>
      </c>
      <c r="I320" t="s">
        <v>40</v>
      </c>
      <c r="J320" t="s">
        <v>214</v>
      </c>
    </row>
    <row r="321" spans="1:14" ht="12.75">
      <c r="A321">
        <f t="shared" si="20"/>
      </c>
      <c r="B321">
        <f t="shared" si="23"/>
      </c>
      <c r="I321" t="s">
        <v>41</v>
      </c>
      <c r="J321" t="s">
        <v>42</v>
      </c>
      <c r="K321" t="s">
        <v>1667</v>
      </c>
      <c r="L321" t="s">
        <v>43</v>
      </c>
      <c r="M321">
        <v>0.1405007</v>
      </c>
      <c r="N321" t="s">
        <v>1251</v>
      </c>
    </row>
    <row r="322" spans="1:10" ht="12.75">
      <c r="A322">
        <f t="shared" si="20"/>
      </c>
      <c r="B322">
        <f t="shared" si="23"/>
      </c>
      <c r="I322" t="s">
        <v>1668</v>
      </c>
      <c r="J322" t="s">
        <v>7</v>
      </c>
    </row>
    <row r="323" spans="1:12" ht="12.75">
      <c r="A323">
        <f t="shared" si="20"/>
      </c>
      <c r="B323">
        <f t="shared" si="23"/>
      </c>
      <c r="I323" t="s">
        <v>1669</v>
      </c>
      <c r="J323" t="s">
        <v>9</v>
      </c>
      <c r="L323" t="s">
        <v>7</v>
      </c>
    </row>
    <row r="324" spans="1:12" ht="12.75">
      <c r="A324">
        <f t="shared" si="20"/>
      </c>
      <c r="B324">
        <f t="shared" si="23"/>
      </c>
      <c r="I324" t="s">
        <v>10</v>
      </c>
      <c r="J324" t="s">
        <v>11</v>
      </c>
      <c r="L324" t="s">
        <v>12</v>
      </c>
    </row>
    <row r="325" spans="1:10" ht="12.75">
      <c r="A325">
        <f t="shared" si="20"/>
      </c>
      <c r="B325">
        <f t="shared" si="23"/>
      </c>
      <c r="I325" t="s">
        <v>13</v>
      </c>
      <c r="J325" t="s">
        <v>2</v>
      </c>
    </row>
    <row r="326" spans="1:12" ht="12.75">
      <c r="A326">
        <f t="shared" si="20"/>
      </c>
      <c r="B326">
        <f t="shared" si="23"/>
      </c>
      <c r="E326" t="s">
        <v>1164</v>
      </c>
      <c r="F326" t="s">
        <v>1205</v>
      </c>
      <c r="G326" t="s">
        <v>1163</v>
      </c>
      <c r="I326" t="s">
        <v>14</v>
      </c>
      <c r="J326" t="s">
        <v>15</v>
      </c>
      <c r="K326" t="s">
        <v>1205</v>
      </c>
      <c r="L326" t="s">
        <v>15</v>
      </c>
    </row>
    <row r="327" spans="1:10" ht="12.75">
      <c r="A327" t="str">
        <f t="shared" si="20"/>
        <v>CNY</v>
      </c>
      <c r="B327" t="str">
        <f t="shared" si="23"/>
        <v>BJS</v>
      </c>
      <c r="C327" t="s">
        <v>1392</v>
      </c>
      <c r="D327">
        <v>1</v>
      </c>
      <c r="E327" t="str">
        <f ca="1">VLOOKUP(E$9&amp;"RWSTAR"&amp;$D327,OFFSET($K327,0,0,MATCH(1,D330:D375,0),2),2,FALSE)</f>
        <v>23900R</v>
      </c>
      <c r="F327" t="str">
        <f ca="1">VLOOKUP(F$9&amp;"RWSTAR"&amp;$D327,OFFSET($K327,0,0,MATCH(1,D330:D375,0),2),2,FALSE)</f>
        <v>44730R</v>
      </c>
      <c r="G327" t="str">
        <f ca="1">VLOOKUP(G$9&amp;"RWSTAR"&amp;$D327,OFFSET($K327,0,0,MATCH(1,D330:D375,0),2),2,FALSE)</f>
        <v>61650R</v>
      </c>
      <c r="I327" t="s">
        <v>1269</v>
      </c>
      <c r="J327" t="s">
        <v>16</v>
      </c>
    </row>
    <row r="328" spans="1:9" ht="12.75">
      <c r="A328">
        <f t="shared" si="20"/>
      </c>
      <c r="B328">
        <f t="shared" si="23"/>
      </c>
      <c r="D328">
        <v>2</v>
      </c>
      <c r="E328" t="str">
        <f ca="1">VLOOKUP(E$9&amp;"RWSTAR"&amp;$D328,OFFSET($K328,0,0,MATCH(1,D330:D375,0),2),2,FALSE)</f>
        <v>27480R</v>
      </c>
      <c r="F328" t="str">
        <f ca="1">VLOOKUP(F$9&amp;"RWSTAR"&amp;$D328,OFFSET($K328,0,0,MATCH(1,D330:D375,0),2),2,FALSE)</f>
        <v>51450R</v>
      </c>
      <c r="G328" t="str">
        <f ca="1">VLOOKUP(G$9&amp;"RWSTAR"&amp;$D328,OFFSET($K328,0,0,MATCH(1,D330:D375,0),2),2,FALSE)</f>
        <v>70890R</v>
      </c>
      <c r="I328" t="s">
        <v>1670</v>
      </c>
    </row>
    <row r="329" spans="1:12" ht="12.75">
      <c r="A329">
        <f aca="true" t="shared" si="26" ref="A329:A392">IF(J329="BASIS",I329,"")</f>
      </c>
      <c r="B329">
        <f aca="true" t="shared" si="27" ref="B329:B392">IF(A329&lt;&gt;"",LEFT(I325,3),"")</f>
      </c>
      <c r="D329">
        <v>3</v>
      </c>
      <c r="E329" t="str">
        <f ca="1">VLOOKUP(E$9&amp;"RWSTAR"&amp;$D329,OFFSET($K329,0,0,MATCH(1,D330:D375,0),2),2,FALSE)</f>
        <v>32260R</v>
      </c>
      <c r="F329" t="str">
        <f ca="1">VLOOKUP(F$9&amp;"RWSTAR"&amp;$D329,OFFSET($K329,0,0,MATCH(1,D330:D375,0),2),2,FALSE)</f>
        <v>60400R</v>
      </c>
      <c r="G329" t="str">
        <f ca="1">VLOOKUP(G$9&amp;"RWSTAR"&amp;$D329,OFFSET($K329,0,0,MATCH(1,D330:D375,0),2),2,FALSE)</f>
        <v>83230R</v>
      </c>
      <c r="I329" t="s">
        <v>17</v>
      </c>
      <c r="J329" t="s">
        <v>7</v>
      </c>
      <c r="K329" t="s">
        <v>88</v>
      </c>
      <c r="L329" t="s">
        <v>1671</v>
      </c>
    </row>
    <row r="330" spans="1:12" ht="12.75">
      <c r="A330">
        <f t="shared" si="26"/>
      </c>
      <c r="B330">
        <f t="shared" si="27"/>
      </c>
      <c r="I330" t="s">
        <v>21</v>
      </c>
      <c r="J330" t="s">
        <v>7</v>
      </c>
      <c r="K330" t="s">
        <v>90</v>
      </c>
      <c r="L330" t="s">
        <v>1672</v>
      </c>
    </row>
    <row r="331" spans="1:12" ht="12.75">
      <c r="A331">
        <f t="shared" si="26"/>
      </c>
      <c r="B331">
        <f t="shared" si="27"/>
      </c>
      <c r="E331" t="str">
        <f aca="true" t="shared" si="28" ref="E331:G333">(LEFT(E327,LEN(E327)-1))</f>
        <v>23900</v>
      </c>
      <c r="F331" t="str">
        <f t="shared" si="28"/>
        <v>44730</v>
      </c>
      <c r="G331" t="str">
        <f t="shared" si="28"/>
        <v>61650</v>
      </c>
      <c r="I331" t="s">
        <v>23</v>
      </c>
      <c r="J331" t="s">
        <v>7</v>
      </c>
      <c r="K331" t="s">
        <v>19</v>
      </c>
      <c r="L331" t="s">
        <v>1673</v>
      </c>
    </row>
    <row r="332" spans="1:12" ht="12.75">
      <c r="A332">
        <f t="shared" si="26"/>
      </c>
      <c r="B332">
        <f t="shared" si="27"/>
      </c>
      <c r="E332" t="str">
        <f t="shared" si="28"/>
        <v>27480</v>
      </c>
      <c r="F332" t="str">
        <f t="shared" si="28"/>
        <v>51450</v>
      </c>
      <c r="G332" t="str">
        <f t="shared" si="28"/>
        <v>70890</v>
      </c>
      <c r="I332" t="s">
        <v>25</v>
      </c>
      <c r="J332" t="s">
        <v>7</v>
      </c>
      <c r="K332" t="s">
        <v>1214</v>
      </c>
      <c r="L332" t="s">
        <v>1674</v>
      </c>
    </row>
    <row r="333" spans="1:12" ht="12.75">
      <c r="A333">
        <f t="shared" si="26"/>
      </c>
      <c r="B333">
        <f t="shared" si="27"/>
      </c>
      <c r="E333" t="str">
        <f t="shared" si="28"/>
        <v>32260</v>
      </c>
      <c r="F333" t="str">
        <f t="shared" si="28"/>
        <v>60400</v>
      </c>
      <c r="G333" t="str">
        <f t="shared" si="28"/>
        <v>83230</v>
      </c>
      <c r="I333" t="s">
        <v>27</v>
      </c>
      <c r="J333" t="s">
        <v>7</v>
      </c>
      <c r="K333" t="s">
        <v>1215</v>
      </c>
      <c r="L333" t="s">
        <v>1675</v>
      </c>
    </row>
    <row r="334" spans="1:12" ht="12.75">
      <c r="A334">
        <f t="shared" si="26"/>
      </c>
      <c r="B334">
        <f t="shared" si="27"/>
      </c>
      <c r="I334" t="s">
        <v>29</v>
      </c>
      <c r="J334" t="s">
        <v>7</v>
      </c>
      <c r="K334" t="s">
        <v>95</v>
      </c>
      <c r="L334" t="s">
        <v>1676</v>
      </c>
    </row>
    <row r="335" spans="1:12" ht="12.75">
      <c r="A335">
        <f t="shared" si="26"/>
      </c>
      <c r="B335">
        <f t="shared" si="27"/>
      </c>
      <c r="I335" t="s">
        <v>31</v>
      </c>
      <c r="J335" t="s">
        <v>7</v>
      </c>
      <c r="K335" t="s">
        <v>1216</v>
      </c>
      <c r="L335" t="s">
        <v>1677</v>
      </c>
    </row>
    <row r="336" spans="1:12" ht="12.75">
      <c r="A336">
        <f t="shared" si="26"/>
      </c>
      <c r="B336">
        <f t="shared" si="27"/>
      </c>
      <c r="I336" t="s">
        <v>33</v>
      </c>
      <c r="J336" t="s">
        <v>7</v>
      </c>
      <c r="K336" t="s">
        <v>98</v>
      </c>
      <c r="L336" t="s">
        <v>1678</v>
      </c>
    </row>
    <row r="337" spans="1:12" ht="12.75">
      <c r="A337">
        <f t="shared" si="26"/>
      </c>
      <c r="B337">
        <f t="shared" si="27"/>
      </c>
      <c r="I337" t="s">
        <v>35</v>
      </c>
      <c r="J337" t="s">
        <v>7</v>
      </c>
      <c r="K337" t="s">
        <v>100</v>
      </c>
      <c r="L337" t="s">
        <v>1679</v>
      </c>
    </row>
    <row r="338" spans="1:12" ht="12.75">
      <c r="A338">
        <f t="shared" si="26"/>
      </c>
      <c r="B338">
        <f t="shared" si="27"/>
      </c>
      <c r="I338" t="s">
        <v>37</v>
      </c>
      <c r="J338" t="s">
        <v>7</v>
      </c>
      <c r="K338" t="s">
        <v>1211</v>
      </c>
      <c r="L338" t="s">
        <v>1680</v>
      </c>
    </row>
    <row r="339" spans="1:12" ht="12.75">
      <c r="A339">
        <f t="shared" si="26"/>
      </c>
      <c r="B339">
        <f t="shared" si="27"/>
      </c>
      <c r="I339" t="s">
        <v>56</v>
      </c>
      <c r="J339" t="s">
        <v>7</v>
      </c>
      <c r="K339" t="s">
        <v>103</v>
      </c>
      <c r="L339" t="s">
        <v>1681</v>
      </c>
    </row>
    <row r="340" spans="1:12" ht="12.75">
      <c r="A340">
        <f t="shared" si="26"/>
      </c>
      <c r="B340">
        <f t="shared" si="27"/>
      </c>
      <c r="I340" t="s">
        <v>58</v>
      </c>
      <c r="J340" t="s">
        <v>7</v>
      </c>
      <c r="K340" t="s">
        <v>1212</v>
      </c>
      <c r="L340" t="s">
        <v>1682</v>
      </c>
    </row>
    <row r="341" spans="1:12" ht="12.75">
      <c r="A341">
        <f t="shared" si="26"/>
      </c>
      <c r="B341">
        <f t="shared" si="27"/>
      </c>
      <c r="I341" t="s">
        <v>59</v>
      </c>
      <c r="J341" t="s">
        <v>7</v>
      </c>
      <c r="K341" t="s">
        <v>1213</v>
      </c>
      <c r="L341" t="s">
        <v>1683</v>
      </c>
    </row>
    <row r="342" spans="1:12" ht="12.75">
      <c r="A342">
        <f t="shared" si="26"/>
      </c>
      <c r="B342">
        <f t="shared" si="27"/>
      </c>
      <c r="I342" t="s">
        <v>60</v>
      </c>
      <c r="J342" t="s">
        <v>7</v>
      </c>
      <c r="K342" t="s">
        <v>1208</v>
      </c>
      <c r="L342" t="s">
        <v>1684</v>
      </c>
    </row>
    <row r="343" spans="1:12" ht="12.75">
      <c r="A343">
        <f t="shared" si="26"/>
      </c>
      <c r="B343">
        <f t="shared" si="27"/>
      </c>
      <c r="I343" t="s">
        <v>61</v>
      </c>
      <c r="J343" t="s">
        <v>7</v>
      </c>
      <c r="K343" t="s">
        <v>1209</v>
      </c>
      <c r="L343" t="s">
        <v>1685</v>
      </c>
    </row>
    <row r="344" spans="1:12" ht="12.75">
      <c r="A344">
        <f t="shared" si="26"/>
      </c>
      <c r="B344">
        <f t="shared" si="27"/>
      </c>
      <c r="I344" t="s">
        <v>62</v>
      </c>
      <c r="J344" t="s">
        <v>7</v>
      </c>
      <c r="K344" t="s">
        <v>1210</v>
      </c>
      <c r="L344" t="s">
        <v>1686</v>
      </c>
    </row>
    <row r="345" spans="1:9" ht="12.75">
      <c r="A345">
        <f t="shared" si="26"/>
      </c>
      <c r="B345">
        <f t="shared" si="27"/>
      </c>
      <c r="I345" t="s">
        <v>1687</v>
      </c>
    </row>
    <row r="346" spans="1:12" ht="12.75">
      <c r="A346">
        <f t="shared" si="26"/>
      </c>
      <c r="B346">
        <f t="shared" si="27"/>
      </c>
      <c r="I346" t="s">
        <v>1688</v>
      </c>
      <c r="J346" t="s">
        <v>7</v>
      </c>
      <c r="K346" t="s">
        <v>19</v>
      </c>
      <c r="L346" t="s">
        <v>1673</v>
      </c>
    </row>
    <row r="347" spans="1:12" ht="12.75">
      <c r="A347">
        <f t="shared" si="26"/>
      </c>
      <c r="B347">
        <f t="shared" si="27"/>
      </c>
      <c r="I347" t="s">
        <v>1689</v>
      </c>
      <c r="J347" t="s">
        <v>7</v>
      </c>
      <c r="K347" t="s">
        <v>1214</v>
      </c>
      <c r="L347" t="s">
        <v>1674</v>
      </c>
    </row>
    <row r="348" spans="1:12" ht="12.75">
      <c r="A348">
        <f t="shared" si="26"/>
      </c>
      <c r="B348">
        <f t="shared" si="27"/>
      </c>
      <c r="I348" t="s">
        <v>1690</v>
      </c>
      <c r="J348" t="s">
        <v>7</v>
      </c>
      <c r="K348" t="s">
        <v>1215</v>
      </c>
      <c r="L348" t="s">
        <v>1675</v>
      </c>
    </row>
    <row r="349" spans="1:12" ht="12.75">
      <c r="A349">
        <f t="shared" si="26"/>
      </c>
      <c r="B349">
        <f t="shared" si="27"/>
      </c>
      <c r="I349" t="s">
        <v>1691</v>
      </c>
      <c r="J349" t="s">
        <v>7</v>
      </c>
      <c r="K349" t="s">
        <v>1216</v>
      </c>
      <c r="L349" t="s">
        <v>1677</v>
      </c>
    </row>
    <row r="350" spans="1:12" ht="12.75">
      <c r="A350">
        <f t="shared" si="26"/>
      </c>
      <c r="B350">
        <f t="shared" si="27"/>
      </c>
      <c r="I350" t="s">
        <v>1692</v>
      </c>
      <c r="J350" t="s">
        <v>7</v>
      </c>
      <c r="K350" t="s">
        <v>1211</v>
      </c>
      <c r="L350" t="s">
        <v>1680</v>
      </c>
    </row>
    <row r="351" spans="1:12" ht="12.75">
      <c r="A351">
        <f t="shared" si="26"/>
      </c>
      <c r="B351">
        <f t="shared" si="27"/>
      </c>
      <c r="I351" t="s">
        <v>1693</v>
      </c>
      <c r="J351" t="s">
        <v>7</v>
      </c>
      <c r="K351" t="s">
        <v>1212</v>
      </c>
      <c r="L351" t="s">
        <v>1682</v>
      </c>
    </row>
    <row r="352" spans="1:12" ht="12.75">
      <c r="A352">
        <f t="shared" si="26"/>
      </c>
      <c r="B352">
        <f t="shared" si="27"/>
      </c>
      <c r="I352" t="s">
        <v>1694</v>
      </c>
      <c r="J352" t="s">
        <v>7</v>
      </c>
      <c r="K352" t="s">
        <v>1213</v>
      </c>
      <c r="L352" t="s">
        <v>1683</v>
      </c>
    </row>
    <row r="353" spans="1:12" ht="12.75">
      <c r="A353">
        <f t="shared" si="26"/>
      </c>
      <c r="B353">
        <f t="shared" si="27"/>
      </c>
      <c r="I353" t="s">
        <v>1695</v>
      </c>
      <c r="J353" t="s">
        <v>7</v>
      </c>
      <c r="K353" t="s">
        <v>1208</v>
      </c>
      <c r="L353" t="s">
        <v>1684</v>
      </c>
    </row>
    <row r="354" spans="1:12" ht="12.75">
      <c r="A354">
        <f t="shared" si="26"/>
      </c>
      <c r="B354">
        <f t="shared" si="27"/>
      </c>
      <c r="I354" t="s">
        <v>1696</v>
      </c>
      <c r="J354" t="s">
        <v>7</v>
      </c>
      <c r="K354" t="s">
        <v>1209</v>
      </c>
      <c r="L354" t="s">
        <v>1685</v>
      </c>
    </row>
    <row r="355" spans="1:12" ht="12.75">
      <c r="A355">
        <f t="shared" si="26"/>
      </c>
      <c r="B355">
        <f t="shared" si="27"/>
      </c>
      <c r="I355" t="s">
        <v>1697</v>
      </c>
      <c r="J355" t="s">
        <v>7</v>
      </c>
      <c r="K355" t="s">
        <v>1210</v>
      </c>
      <c r="L355" t="s">
        <v>1686</v>
      </c>
    </row>
    <row r="356" spans="1:10" ht="12.75">
      <c r="A356">
        <f t="shared" si="26"/>
      </c>
      <c r="B356">
        <f t="shared" si="27"/>
      </c>
      <c r="I356" t="s">
        <v>1698</v>
      </c>
      <c r="J356" t="s">
        <v>7</v>
      </c>
    </row>
    <row r="357" spans="1:12" ht="12.75">
      <c r="A357">
        <f t="shared" si="26"/>
      </c>
      <c r="B357">
        <f t="shared" si="27"/>
      </c>
      <c r="I357" t="s">
        <v>1699</v>
      </c>
      <c r="J357" t="s">
        <v>9</v>
      </c>
      <c r="L357" t="s">
        <v>7</v>
      </c>
    </row>
    <row r="358" spans="1:12" ht="12.75">
      <c r="A358">
        <f t="shared" si="26"/>
      </c>
      <c r="B358">
        <f t="shared" si="27"/>
      </c>
      <c r="I358" t="s">
        <v>10</v>
      </c>
      <c r="J358" t="s">
        <v>11</v>
      </c>
      <c r="L358" t="s">
        <v>12</v>
      </c>
    </row>
    <row r="359" spans="1:10" ht="12.75">
      <c r="A359">
        <f t="shared" si="26"/>
      </c>
      <c r="B359">
        <f t="shared" si="27"/>
      </c>
      <c r="I359" t="s">
        <v>13</v>
      </c>
      <c r="J359" t="s">
        <v>2</v>
      </c>
    </row>
    <row r="360" spans="1:12" ht="12.75">
      <c r="A360">
        <f t="shared" si="26"/>
      </c>
      <c r="B360">
        <f t="shared" si="27"/>
      </c>
      <c r="E360" t="s">
        <v>1164</v>
      </c>
      <c r="F360" t="s">
        <v>1205</v>
      </c>
      <c r="G360" t="s">
        <v>1163</v>
      </c>
      <c r="I360" t="s">
        <v>14</v>
      </c>
      <c r="J360" t="s">
        <v>15</v>
      </c>
      <c r="K360" t="s">
        <v>1205</v>
      </c>
      <c r="L360" t="s">
        <v>15</v>
      </c>
    </row>
    <row r="361" spans="1:10" ht="12.75">
      <c r="A361" t="str">
        <f t="shared" si="26"/>
        <v>HKD</v>
      </c>
      <c r="B361" t="str">
        <f t="shared" si="27"/>
        <v>HKG</v>
      </c>
      <c r="C361" t="s">
        <v>1393</v>
      </c>
      <c r="D361">
        <v>1</v>
      </c>
      <c r="E361" t="str">
        <f ca="1">VLOOKUP(E$9&amp;"RWSTAR"&amp;$D361,OFFSET($K361,0,0,MATCH(1,D364:D409,0),2),2,FALSE)</f>
        <v>23180R</v>
      </c>
      <c r="F361" t="str">
        <f ca="1">VLOOKUP(F$9&amp;"RWSTAR"&amp;$D361,OFFSET($K361,0,0,MATCH(1,D364:D409,0),2),2,FALSE)</f>
        <v>45160R</v>
      </c>
      <c r="G361" t="str">
        <f ca="1">VLOOKUP(G$9&amp;"RWSTAR"&amp;$D361,OFFSET($K361,0,0,MATCH(1,D364:D409,0),2),2,FALSE)</f>
        <v>64000R</v>
      </c>
      <c r="I361" t="s">
        <v>1270</v>
      </c>
      <c r="J361" t="s">
        <v>16</v>
      </c>
    </row>
    <row r="362" spans="1:16" ht="12.75">
      <c r="A362">
        <f t="shared" si="26"/>
      </c>
      <c r="B362">
        <f t="shared" si="27"/>
      </c>
      <c r="D362">
        <v>2</v>
      </c>
      <c r="E362" t="str">
        <f ca="1">VLOOKUP(E$9&amp;"RWSTAR"&amp;$D362,OFFSET($K362,0,0,MATCH(1,D364:D409,0),2),2,FALSE)</f>
        <v>26650R</v>
      </c>
      <c r="F362" t="str">
        <f ca="1">VLOOKUP(F$9&amp;"RWSTAR"&amp;$D362,OFFSET($K362,0,0,MATCH(1,D364:D409,0),2),2,FALSE)</f>
        <v>51950R</v>
      </c>
      <c r="G362" t="str">
        <f ca="1">VLOOKUP(G$9&amp;"RWSTAR"&amp;$D362,OFFSET($K362,0,0,MATCH(1,D364:D409,0),2),2,FALSE)</f>
        <v>73590R</v>
      </c>
      <c r="I362" t="s">
        <v>17</v>
      </c>
      <c r="J362" t="s">
        <v>7</v>
      </c>
      <c r="K362" t="s">
        <v>88</v>
      </c>
      <c r="L362" t="s">
        <v>1700</v>
      </c>
      <c r="P362" t="s">
        <v>1700</v>
      </c>
    </row>
    <row r="363" spans="1:16" ht="12.75">
      <c r="A363">
        <f t="shared" si="26"/>
      </c>
      <c r="B363">
        <f t="shared" si="27"/>
      </c>
      <c r="D363">
        <v>3</v>
      </c>
      <c r="E363" t="str">
        <f ca="1">VLOOKUP(E$9&amp;"RWSTAR"&amp;$D363,OFFSET($K363,0,0,MATCH(1,D364:D409,0),2),2,FALSE)</f>
        <v>31280R</v>
      </c>
      <c r="F363" t="str">
        <f ca="1">VLOOKUP(F$9&amp;"RWSTAR"&amp;$D363,OFFSET($K363,0,0,MATCH(1,D364:D409,0),2),2,FALSE)</f>
        <v>60990R</v>
      </c>
      <c r="G363" t="str">
        <f ca="1">VLOOKUP(G$9&amp;"RWSTAR"&amp;$D363,OFFSET($K363,0,0,MATCH(1,D364:D409,0),2),2,FALSE)</f>
        <v>86400R</v>
      </c>
      <c r="I363" t="s">
        <v>21</v>
      </c>
      <c r="J363" t="s">
        <v>7</v>
      </c>
      <c r="K363" t="s">
        <v>90</v>
      </c>
      <c r="L363" t="s">
        <v>1701</v>
      </c>
      <c r="P363" t="s">
        <v>1701</v>
      </c>
    </row>
    <row r="364" spans="1:16" ht="12.75">
      <c r="A364">
        <f t="shared" si="26"/>
      </c>
      <c r="B364">
        <f t="shared" si="27"/>
      </c>
      <c r="I364" t="s">
        <v>23</v>
      </c>
      <c r="J364" t="s">
        <v>7</v>
      </c>
      <c r="K364" t="s">
        <v>19</v>
      </c>
      <c r="L364" t="s">
        <v>1702</v>
      </c>
      <c r="P364" t="s">
        <v>1702</v>
      </c>
    </row>
    <row r="365" spans="1:16" ht="12.75">
      <c r="A365">
        <f t="shared" si="26"/>
      </c>
      <c r="B365">
        <f t="shared" si="27"/>
      </c>
      <c r="E365" t="str">
        <f aca="true" t="shared" si="29" ref="E365:G367">(LEFT(E361,LEN(E361)-1))</f>
        <v>23180</v>
      </c>
      <c r="F365" t="str">
        <f t="shared" si="29"/>
        <v>45160</v>
      </c>
      <c r="G365" t="str">
        <f t="shared" si="29"/>
        <v>64000</v>
      </c>
      <c r="I365" t="s">
        <v>25</v>
      </c>
      <c r="J365" t="s">
        <v>7</v>
      </c>
      <c r="K365" t="s">
        <v>1214</v>
      </c>
      <c r="L365" t="s">
        <v>134</v>
      </c>
      <c r="P365" t="s">
        <v>1703</v>
      </c>
    </row>
    <row r="366" spans="1:16" ht="12.75">
      <c r="A366">
        <f t="shared" si="26"/>
      </c>
      <c r="B366">
        <f t="shared" si="27"/>
      </c>
      <c r="E366" t="str">
        <f t="shared" si="29"/>
        <v>26650</v>
      </c>
      <c r="F366" t="str">
        <f t="shared" si="29"/>
        <v>51950</v>
      </c>
      <c r="G366" t="str">
        <f t="shared" si="29"/>
        <v>73590</v>
      </c>
      <c r="I366" t="s">
        <v>27</v>
      </c>
      <c r="J366" t="s">
        <v>7</v>
      </c>
      <c r="K366" t="s">
        <v>1215</v>
      </c>
      <c r="L366" t="s">
        <v>135</v>
      </c>
      <c r="P366" t="s">
        <v>1704</v>
      </c>
    </row>
    <row r="367" spans="1:16" ht="12.75">
      <c r="A367">
        <f t="shared" si="26"/>
      </c>
      <c r="B367">
        <f t="shared" si="27"/>
      </c>
      <c r="E367" t="str">
        <f t="shared" si="29"/>
        <v>31280</v>
      </c>
      <c r="F367" t="str">
        <f t="shared" si="29"/>
        <v>60990</v>
      </c>
      <c r="G367" t="str">
        <f t="shared" si="29"/>
        <v>86400</v>
      </c>
      <c r="I367" t="s">
        <v>29</v>
      </c>
      <c r="J367" t="s">
        <v>7</v>
      </c>
      <c r="K367" t="s">
        <v>95</v>
      </c>
      <c r="L367" t="s">
        <v>1705</v>
      </c>
      <c r="P367" t="s">
        <v>1705</v>
      </c>
    </row>
    <row r="368" spans="1:16" ht="12.75">
      <c r="A368">
        <f t="shared" si="26"/>
      </c>
      <c r="B368">
        <f t="shared" si="27"/>
      </c>
      <c r="I368" t="s">
        <v>31</v>
      </c>
      <c r="J368" t="s">
        <v>7</v>
      </c>
      <c r="K368" t="s">
        <v>1216</v>
      </c>
      <c r="L368" t="s">
        <v>136</v>
      </c>
      <c r="P368" t="s">
        <v>1706</v>
      </c>
    </row>
    <row r="369" spans="1:16" ht="12.75">
      <c r="A369">
        <f t="shared" si="26"/>
      </c>
      <c r="B369">
        <f t="shared" si="27"/>
      </c>
      <c r="I369" t="s">
        <v>33</v>
      </c>
      <c r="J369" t="s">
        <v>7</v>
      </c>
      <c r="K369" t="s">
        <v>98</v>
      </c>
      <c r="L369" t="s">
        <v>1707</v>
      </c>
      <c r="P369" t="s">
        <v>1707</v>
      </c>
    </row>
    <row r="370" spans="1:16" ht="12.75">
      <c r="A370">
        <f t="shared" si="26"/>
      </c>
      <c r="B370">
        <f t="shared" si="27"/>
      </c>
      <c r="I370" t="s">
        <v>35</v>
      </c>
      <c r="J370" t="s">
        <v>7</v>
      </c>
      <c r="K370" t="s">
        <v>100</v>
      </c>
      <c r="L370" t="s">
        <v>1708</v>
      </c>
      <c r="P370" t="s">
        <v>1708</v>
      </c>
    </row>
    <row r="371" spans="1:16" ht="12.75">
      <c r="A371">
        <f t="shared" si="26"/>
      </c>
      <c r="B371">
        <f t="shared" si="27"/>
      </c>
      <c r="I371" t="s">
        <v>37</v>
      </c>
      <c r="J371" t="s">
        <v>7</v>
      </c>
      <c r="K371" t="s">
        <v>1211</v>
      </c>
      <c r="L371" t="s">
        <v>137</v>
      </c>
      <c r="P371" t="s">
        <v>1709</v>
      </c>
    </row>
    <row r="372" spans="1:16" ht="12.75">
      <c r="A372">
        <f t="shared" si="26"/>
      </c>
      <c r="B372">
        <f t="shared" si="27"/>
      </c>
      <c r="I372" t="s">
        <v>56</v>
      </c>
      <c r="J372" t="s">
        <v>7</v>
      </c>
      <c r="K372" t="s">
        <v>103</v>
      </c>
      <c r="L372" t="s">
        <v>1710</v>
      </c>
      <c r="P372" t="s">
        <v>1710</v>
      </c>
    </row>
    <row r="373" spans="1:16" ht="12.75">
      <c r="A373">
        <f t="shared" si="26"/>
      </c>
      <c r="B373">
        <f t="shared" si="27"/>
      </c>
      <c r="I373" t="s">
        <v>58</v>
      </c>
      <c r="J373" t="s">
        <v>7</v>
      </c>
      <c r="K373" t="s">
        <v>1212</v>
      </c>
      <c r="L373" t="s">
        <v>138</v>
      </c>
      <c r="P373" t="s">
        <v>1711</v>
      </c>
    </row>
    <row r="374" spans="1:16" ht="12.75">
      <c r="A374">
        <f t="shared" si="26"/>
      </c>
      <c r="B374">
        <f t="shared" si="27"/>
      </c>
      <c r="I374" t="s">
        <v>59</v>
      </c>
      <c r="J374" t="s">
        <v>7</v>
      </c>
      <c r="K374" t="s">
        <v>1213</v>
      </c>
      <c r="L374" t="s">
        <v>139</v>
      </c>
      <c r="P374" t="s">
        <v>1712</v>
      </c>
    </row>
    <row r="375" spans="1:16" ht="12.75">
      <c r="A375">
        <f t="shared" si="26"/>
      </c>
      <c r="B375">
        <f t="shared" si="27"/>
      </c>
      <c r="I375" t="s">
        <v>60</v>
      </c>
      <c r="J375" t="s">
        <v>7</v>
      </c>
      <c r="K375" t="s">
        <v>1208</v>
      </c>
      <c r="L375" t="s">
        <v>140</v>
      </c>
      <c r="P375" t="s">
        <v>1713</v>
      </c>
    </row>
    <row r="376" spans="1:16" ht="12.75">
      <c r="A376">
        <f t="shared" si="26"/>
      </c>
      <c r="B376">
        <f t="shared" si="27"/>
      </c>
      <c r="I376" t="s">
        <v>61</v>
      </c>
      <c r="J376" t="s">
        <v>7</v>
      </c>
      <c r="K376" t="s">
        <v>1209</v>
      </c>
      <c r="L376" t="s">
        <v>179</v>
      </c>
      <c r="P376" t="s">
        <v>1714</v>
      </c>
    </row>
    <row r="377" spans="1:16" ht="12.75">
      <c r="A377">
        <f t="shared" si="26"/>
      </c>
      <c r="B377">
        <f t="shared" si="27"/>
      </c>
      <c r="I377" t="s">
        <v>62</v>
      </c>
      <c r="J377" t="s">
        <v>7</v>
      </c>
      <c r="K377" t="s">
        <v>1210</v>
      </c>
      <c r="L377" t="s">
        <v>180</v>
      </c>
      <c r="P377" t="s">
        <v>1715</v>
      </c>
    </row>
    <row r="378" spans="1:16" ht="12.75">
      <c r="A378">
        <f t="shared" si="26"/>
      </c>
      <c r="B378">
        <f t="shared" si="27"/>
      </c>
      <c r="I378" t="s">
        <v>1716</v>
      </c>
      <c r="J378" t="s">
        <v>1623</v>
      </c>
      <c r="L378" t="s">
        <v>7</v>
      </c>
      <c r="P378" t="s">
        <v>7</v>
      </c>
    </row>
    <row r="379" spans="1:16" ht="12.75">
      <c r="A379">
        <f t="shared" si="26"/>
      </c>
      <c r="B379">
        <f t="shared" si="27"/>
      </c>
      <c r="I379" t="s">
        <v>1717</v>
      </c>
      <c r="J379" t="s">
        <v>9</v>
      </c>
      <c r="L379" t="s">
        <v>7</v>
      </c>
      <c r="P379" t="s">
        <v>7</v>
      </c>
    </row>
    <row r="380" spans="1:16" ht="12.75">
      <c r="A380">
        <f t="shared" si="26"/>
      </c>
      <c r="B380">
        <f t="shared" si="27"/>
      </c>
      <c r="I380" t="s">
        <v>10</v>
      </c>
      <c r="J380" t="s">
        <v>11</v>
      </c>
      <c r="L380" t="s">
        <v>12</v>
      </c>
      <c r="P380" t="s">
        <v>12</v>
      </c>
    </row>
    <row r="381" spans="1:10" ht="12.75">
      <c r="A381">
        <f t="shared" si="26"/>
      </c>
      <c r="B381">
        <f t="shared" si="27"/>
      </c>
      <c r="I381" t="s">
        <v>13</v>
      </c>
      <c r="J381" t="s">
        <v>2</v>
      </c>
    </row>
    <row r="382" spans="1:12" ht="12.75">
      <c r="A382">
        <f t="shared" si="26"/>
      </c>
      <c r="B382">
        <f t="shared" si="27"/>
      </c>
      <c r="E382" t="s">
        <v>1164</v>
      </c>
      <c r="F382" t="s">
        <v>1205</v>
      </c>
      <c r="G382" t="s">
        <v>1163</v>
      </c>
      <c r="I382" t="s">
        <v>14</v>
      </c>
      <c r="J382" t="s">
        <v>15</v>
      </c>
      <c r="K382" t="s">
        <v>1205</v>
      </c>
      <c r="L382" t="s">
        <v>15</v>
      </c>
    </row>
    <row r="383" spans="1:10" ht="12.75">
      <c r="A383" t="str">
        <f t="shared" si="26"/>
        <v>ZAR</v>
      </c>
      <c r="B383" t="str">
        <f t="shared" si="27"/>
        <v>JNB</v>
      </c>
      <c r="C383" t="s">
        <v>1386</v>
      </c>
      <c r="D383">
        <v>1</v>
      </c>
      <c r="E383" t="str">
        <f ca="1">VLOOKUP(E$9&amp;"RWSTAR"&amp;$D383,OFFSET($K383,0,0,MATCH(1,D386:D431,0),2),2,FALSE)</f>
        <v>17300R</v>
      </c>
      <c r="F383" t="str">
        <f ca="1">VLOOKUP(F$9&amp;"RWSTAR"&amp;$D383,OFFSET($K383,0,0,MATCH(1,D386:D431,0),2),2,FALSE)</f>
        <v>37300R</v>
      </c>
      <c r="G383" t="str">
        <f ca="1">VLOOKUP(G$9&amp;"RWSTAR"&amp;$D383,OFFSET($K383,0,0,MATCH(1,D386:D431,0),2),2,FALSE)</f>
        <v>52400R</v>
      </c>
      <c r="I383" t="s">
        <v>1257</v>
      </c>
      <c r="J383" t="s">
        <v>16</v>
      </c>
    </row>
    <row r="384" spans="1:12" ht="12.75">
      <c r="A384">
        <f t="shared" si="26"/>
      </c>
      <c r="B384">
        <f t="shared" si="27"/>
      </c>
      <c r="D384">
        <v>2</v>
      </c>
      <c r="E384" t="str">
        <f ca="1">VLOOKUP(E$9&amp;"RWSTAR"&amp;$D384,OFFSET($K384,0,0,MATCH(1,D386:D431,0),2),2,FALSE)</f>
        <v>19890R</v>
      </c>
      <c r="F384" t="str">
        <f ca="1">VLOOKUP(F$9&amp;"RWSTAR"&amp;$D384,OFFSET($K384,0,0,MATCH(1,D386:D431,0),2),2,FALSE)</f>
        <v>42900R</v>
      </c>
      <c r="G384" t="str">
        <f ca="1">VLOOKUP(G$9&amp;"RWSTAR"&amp;$D384,OFFSET($K384,0,0,MATCH(1,D386:D431,0),2),2,FALSE)</f>
        <v>60250R</v>
      </c>
      <c r="I384" t="s">
        <v>17</v>
      </c>
      <c r="J384" t="s">
        <v>7</v>
      </c>
      <c r="K384" t="s">
        <v>19</v>
      </c>
      <c r="L384" t="s">
        <v>1718</v>
      </c>
    </row>
    <row r="385" spans="1:12" ht="12.75">
      <c r="A385">
        <f t="shared" si="26"/>
      </c>
      <c r="B385">
        <f t="shared" si="27"/>
      </c>
      <c r="D385">
        <v>3</v>
      </c>
      <c r="E385" t="str">
        <f ca="1">VLOOKUP(E$9&amp;"RWSTAR"&amp;$D385,OFFSET($K385,0,0,MATCH(1,D386:D431,0),2),2,FALSE)</f>
        <v>23350R</v>
      </c>
      <c r="F385" t="str">
        <f ca="1">VLOOKUP(F$9&amp;"RWSTAR"&amp;$D385,OFFSET($K385,0,0,MATCH(1,D386:D431,0),2),2,FALSE)</f>
        <v>50400R</v>
      </c>
      <c r="G385" t="str">
        <f ca="1">VLOOKUP(G$9&amp;"RWSTAR"&amp;$D385,OFFSET($K385,0,0,MATCH(1,D386:D431,0),2),2,FALSE)</f>
        <v>70700R</v>
      </c>
      <c r="I385" t="s">
        <v>21</v>
      </c>
      <c r="J385" t="s">
        <v>7</v>
      </c>
      <c r="K385" t="s">
        <v>1214</v>
      </c>
      <c r="L385" t="s">
        <v>1719</v>
      </c>
    </row>
    <row r="386" spans="1:12" ht="12.75">
      <c r="A386">
        <f t="shared" si="26"/>
      </c>
      <c r="B386">
        <f t="shared" si="27"/>
      </c>
      <c r="I386" t="s">
        <v>23</v>
      </c>
      <c r="J386" t="s">
        <v>7</v>
      </c>
      <c r="K386" t="s">
        <v>1215</v>
      </c>
      <c r="L386" t="s">
        <v>1720</v>
      </c>
    </row>
    <row r="387" spans="1:12" ht="12.75">
      <c r="A387">
        <f t="shared" si="26"/>
      </c>
      <c r="B387">
        <f t="shared" si="27"/>
      </c>
      <c r="E387" t="str">
        <f aca="true" t="shared" si="30" ref="E387:G389">(LEFT(E383,LEN(E383)-1))</f>
        <v>17300</v>
      </c>
      <c r="F387" t="str">
        <f t="shared" si="30"/>
        <v>37300</v>
      </c>
      <c r="G387" t="str">
        <f t="shared" si="30"/>
        <v>52400</v>
      </c>
      <c r="I387" t="s">
        <v>25</v>
      </c>
      <c r="J387" t="s">
        <v>7</v>
      </c>
      <c r="K387" t="s">
        <v>1216</v>
      </c>
      <c r="L387" t="s">
        <v>1721</v>
      </c>
    </row>
    <row r="388" spans="1:12" ht="12.75">
      <c r="A388">
        <f t="shared" si="26"/>
      </c>
      <c r="B388">
        <f t="shared" si="27"/>
      </c>
      <c r="E388" t="str">
        <f t="shared" si="30"/>
        <v>19890</v>
      </c>
      <c r="F388" t="str">
        <f t="shared" si="30"/>
        <v>42900</v>
      </c>
      <c r="G388" t="str">
        <f t="shared" si="30"/>
        <v>60250</v>
      </c>
      <c r="I388" t="s">
        <v>27</v>
      </c>
      <c r="J388" t="s">
        <v>7</v>
      </c>
      <c r="K388" t="s">
        <v>1211</v>
      </c>
      <c r="L388" t="s">
        <v>1722</v>
      </c>
    </row>
    <row r="389" spans="1:12" ht="12.75">
      <c r="A389">
        <f t="shared" si="26"/>
      </c>
      <c r="B389">
        <f t="shared" si="27"/>
      </c>
      <c r="E389" t="str">
        <f t="shared" si="30"/>
        <v>23350</v>
      </c>
      <c r="F389" t="str">
        <f t="shared" si="30"/>
        <v>50400</v>
      </c>
      <c r="G389" t="str">
        <f t="shared" si="30"/>
        <v>70700</v>
      </c>
      <c r="I389" t="s">
        <v>29</v>
      </c>
      <c r="J389" t="s">
        <v>7</v>
      </c>
      <c r="K389" t="s">
        <v>1212</v>
      </c>
      <c r="L389" t="s">
        <v>1723</v>
      </c>
    </row>
    <row r="390" spans="1:12" ht="12.75">
      <c r="A390">
        <f t="shared" si="26"/>
      </c>
      <c r="B390">
        <f t="shared" si="27"/>
      </c>
      <c r="I390" t="s">
        <v>31</v>
      </c>
      <c r="J390" t="s">
        <v>7</v>
      </c>
      <c r="K390" t="s">
        <v>1213</v>
      </c>
      <c r="L390" t="s">
        <v>1724</v>
      </c>
    </row>
    <row r="391" spans="1:12" ht="12.75">
      <c r="A391">
        <f t="shared" si="26"/>
      </c>
      <c r="B391">
        <f t="shared" si="27"/>
      </c>
      <c r="I391" t="s">
        <v>33</v>
      </c>
      <c r="J391" t="s">
        <v>7</v>
      </c>
      <c r="K391" t="s">
        <v>1208</v>
      </c>
      <c r="L391" t="s">
        <v>1725</v>
      </c>
    </row>
    <row r="392" spans="1:12" ht="12.75">
      <c r="A392">
        <f t="shared" si="26"/>
      </c>
      <c r="B392">
        <f t="shared" si="27"/>
      </c>
      <c r="I392" t="s">
        <v>35</v>
      </c>
      <c r="J392" t="s">
        <v>7</v>
      </c>
      <c r="K392" t="s">
        <v>1209</v>
      </c>
      <c r="L392" t="s">
        <v>1726</v>
      </c>
    </row>
    <row r="393" spans="1:12" ht="12.75">
      <c r="A393">
        <f aca="true" t="shared" si="31" ref="A393:A456">IF(J393="BASIS",I393,"")</f>
      </c>
      <c r="B393">
        <f aca="true" t="shared" si="32" ref="B393:B456">IF(A393&lt;&gt;"",LEFT(I389,3),"")</f>
      </c>
      <c r="I393" t="s">
        <v>37</v>
      </c>
      <c r="J393" t="s">
        <v>7</v>
      </c>
      <c r="K393" t="s">
        <v>1210</v>
      </c>
      <c r="L393" t="s">
        <v>1727</v>
      </c>
    </row>
    <row r="394" spans="1:13" ht="12.75">
      <c r="A394">
        <f t="shared" si="31"/>
      </c>
      <c r="B394">
        <f t="shared" si="32"/>
      </c>
      <c r="I394" t="s">
        <v>21</v>
      </c>
      <c r="J394" t="s">
        <v>7</v>
      </c>
      <c r="K394" t="s">
        <v>1214</v>
      </c>
      <c r="L394" t="s">
        <v>1719</v>
      </c>
      <c r="M394" t="s">
        <v>39</v>
      </c>
    </row>
    <row r="395" spans="1:2" ht="12.75">
      <c r="A395">
        <f t="shared" si="31"/>
      </c>
      <c r="B395">
        <f t="shared" si="32"/>
      </c>
    </row>
    <row r="396" spans="1:10" ht="12.75">
      <c r="A396">
        <f t="shared" si="31"/>
      </c>
      <c r="B396">
        <f t="shared" si="32"/>
      </c>
      <c r="I396" t="s">
        <v>40</v>
      </c>
      <c r="J396" t="s">
        <v>215</v>
      </c>
    </row>
    <row r="397" spans="1:14" ht="12.75">
      <c r="A397">
        <f t="shared" si="31"/>
      </c>
      <c r="B397">
        <f t="shared" si="32"/>
      </c>
      <c r="I397" t="s">
        <v>41</v>
      </c>
      <c r="J397" t="s">
        <v>42</v>
      </c>
      <c r="K397" t="s">
        <v>1728</v>
      </c>
      <c r="L397" t="s">
        <v>43</v>
      </c>
      <c r="M397">
        <v>0.1605987</v>
      </c>
      <c r="N397" t="s">
        <v>1251</v>
      </c>
    </row>
    <row r="398" spans="1:10" ht="12.75">
      <c r="A398">
        <f t="shared" si="31"/>
      </c>
      <c r="B398">
        <f t="shared" si="32"/>
      </c>
      <c r="I398" t="s">
        <v>1729</v>
      </c>
      <c r="J398" t="s">
        <v>7</v>
      </c>
    </row>
    <row r="399" spans="1:12" ht="12.75">
      <c r="A399">
        <f t="shared" si="31"/>
      </c>
      <c r="B399">
        <f t="shared" si="32"/>
      </c>
      <c r="I399" t="s">
        <v>1730</v>
      </c>
      <c r="J399" t="s">
        <v>9</v>
      </c>
      <c r="L399" t="s">
        <v>7</v>
      </c>
    </row>
    <row r="400" spans="1:12" ht="12.75">
      <c r="A400">
        <f t="shared" si="31"/>
      </c>
      <c r="B400">
        <f t="shared" si="32"/>
      </c>
      <c r="I400" t="s">
        <v>10</v>
      </c>
      <c r="J400" t="s">
        <v>11</v>
      </c>
      <c r="L400" t="s">
        <v>12</v>
      </c>
    </row>
    <row r="401" spans="1:10" ht="12.75">
      <c r="A401">
        <f t="shared" si="31"/>
      </c>
      <c r="B401">
        <f t="shared" si="32"/>
      </c>
      <c r="I401" t="s">
        <v>13</v>
      </c>
      <c r="J401" t="s">
        <v>2</v>
      </c>
    </row>
    <row r="402" spans="1:12" ht="12.75">
      <c r="A402">
        <f t="shared" si="31"/>
      </c>
      <c r="B402">
        <f t="shared" si="32"/>
      </c>
      <c r="E402" t="s">
        <v>1164</v>
      </c>
      <c r="F402" t="s">
        <v>1205</v>
      </c>
      <c r="G402" t="s">
        <v>1163</v>
      </c>
      <c r="I402" t="s">
        <v>14</v>
      </c>
      <c r="J402" t="s">
        <v>15</v>
      </c>
      <c r="K402" t="s">
        <v>1205</v>
      </c>
      <c r="L402" t="s">
        <v>15</v>
      </c>
    </row>
    <row r="403" spans="1:10" ht="12.75">
      <c r="A403" t="str">
        <f t="shared" si="31"/>
        <v>PLN</v>
      </c>
      <c r="B403" t="str">
        <f t="shared" si="32"/>
        <v>WAW</v>
      </c>
      <c r="C403" t="s">
        <v>1005</v>
      </c>
      <c r="D403">
        <v>1</v>
      </c>
      <c r="E403" t="str">
        <f ca="1">VLOOKUP(E$9&amp;"RWSTAR"&amp;$D403,OFFSET($K403,0,0,MATCH(1,D406:D451,0),2),2,FALSE)</f>
        <v>9170R</v>
      </c>
      <c r="F403" t="str">
        <f ca="1">VLOOKUP(F$9&amp;"RWSTAR"&amp;$D403,OFFSET($K403,0,0,MATCH(1,D406:D451,0),2),2,FALSE)</f>
        <v>17500R</v>
      </c>
      <c r="G403" t="str">
        <f ca="1">VLOOKUP(G$9&amp;"RWSTAR"&amp;$D403,OFFSET($K403,0,0,MATCH(1,D406:D451,0),2),2,FALSE)</f>
        <v>25800R</v>
      </c>
      <c r="I403" t="s">
        <v>998</v>
      </c>
      <c r="J403" t="s">
        <v>16</v>
      </c>
    </row>
    <row r="404" spans="1:12" ht="12.75">
      <c r="A404">
        <f t="shared" si="31"/>
      </c>
      <c r="B404">
        <f t="shared" si="32"/>
      </c>
      <c r="D404">
        <v>2</v>
      </c>
      <c r="E404" t="str">
        <f ca="1">VLOOKUP(E$9&amp;"RWSTAR"&amp;$D404,OFFSET($K404,0,0,MATCH(1,D406:D451,0),2),2,FALSE)</f>
        <v>10540R</v>
      </c>
      <c r="F404" t="str">
        <f ca="1">VLOOKUP(F$9&amp;"RWSTAR"&amp;$D404,OFFSET($K404,0,0,MATCH(1,D406:D451,0),2),2,FALSE)</f>
        <v>20050R</v>
      </c>
      <c r="G404" t="str">
        <f ca="1">VLOOKUP(G$9&amp;"RWSTAR"&amp;$D404,OFFSET($K404,0,0,MATCH(1,D406:D451,0),2),2,FALSE)</f>
        <v>29600R</v>
      </c>
      <c r="I404" t="s">
        <v>17</v>
      </c>
      <c r="J404" t="s">
        <v>7</v>
      </c>
      <c r="K404" t="s">
        <v>19</v>
      </c>
      <c r="L404" t="s">
        <v>416</v>
      </c>
    </row>
    <row r="405" spans="1:12" ht="12.75">
      <c r="A405">
        <f t="shared" si="31"/>
      </c>
      <c r="B405">
        <f t="shared" si="32"/>
      </c>
      <c r="D405">
        <v>3</v>
      </c>
      <c r="E405" t="str">
        <f ca="1">VLOOKUP(E$9&amp;"RWSTAR"&amp;$D405,OFFSET($K405,0,0,MATCH(1,D406:D451,0),2),2,FALSE)</f>
        <v>12370R</v>
      </c>
      <c r="F405" t="str">
        <f ca="1">VLOOKUP(F$9&amp;"RWSTAR"&amp;$D405,OFFSET($K405,0,0,MATCH(1,D406:D451,0),2),2,FALSE)</f>
        <v>23550R</v>
      </c>
      <c r="G405" t="str">
        <f ca="1">VLOOKUP(G$9&amp;"RWSTAR"&amp;$D405,OFFSET($K405,0,0,MATCH(1,D406:D451,0),2),2,FALSE)</f>
        <v>34800R</v>
      </c>
      <c r="I405" t="s">
        <v>21</v>
      </c>
      <c r="J405" t="s">
        <v>7</v>
      </c>
      <c r="K405" t="s">
        <v>1214</v>
      </c>
      <c r="L405" t="s">
        <v>417</v>
      </c>
    </row>
    <row r="406" spans="1:12" ht="12.75">
      <c r="A406">
        <f t="shared" si="31"/>
      </c>
      <c r="B406">
        <f t="shared" si="32"/>
      </c>
      <c r="I406" t="s">
        <v>23</v>
      </c>
      <c r="J406" t="s">
        <v>7</v>
      </c>
      <c r="K406" t="s">
        <v>1215</v>
      </c>
      <c r="L406" t="s">
        <v>418</v>
      </c>
    </row>
    <row r="407" spans="1:12" ht="12.75">
      <c r="A407">
        <f t="shared" si="31"/>
      </c>
      <c r="B407">
        <f t="shared" si="32"/>
      </c>
      <c r="E407" t="str">
        <f aca="true" t="shared" si="33" ref="E407:G409">(LEFT(E403,LEN(E403)-1))</f>
        <v>9170</v>
      </c>
      <c r="F407" t="str">
        <f t="shared" si="33"/>
        <v>17500</v>
      </c>
      <c r="G407" t="str">
        <f t="shared" si="33"/>
        <v>25800</v>
      </c>
      <c r="I407" t="s">
        <v>25</v>
      </c>
      <c r="J407" t="s">
        <v>7</v>
      </c>
      <c r="K407" t="s">
        <v>1216</v>
      </c>
      <c r="L407" t="s">
        <v>419</v>
      </c>
    </row>
    <row r="408" spans="1:12" ht="12.75">
      <c r="A408">
        <f t="shared" si="31"/>
      </c>
      <c r="B408">
        <f t="shared" si="32"/>
      </c>
      <c r="E408" t="str">
        <f t="shared" si="33"/>
        <v>10540</v>
      </c>
      <c r="F408" t="str">
        <f t="shared" si="33"/>
        <v>20050</v>
      </c>
      <c r="G408" t="str">
        <f t="shared" si="33"/>
        <v>29600</v>
      </c>
      <c r="I408" t="s">
        <v>27</v>
      </c>
      <c r="J408" t="s">
        <v>7</v>
      </c>
      <c r="K408" t="s">
        <v>1211</v>
      </c>
      <c r="L408" t="s">
        <v>420</v>
      </c>
    </row>
    <row r="409" spans="1:12" ht="12.75">
      <c r="A409">
        <f t="shared" si="31"/>
      </c>
      <c r="B409">
        <f t="shared" si="32"/>
      </c>
      <c r="E409" t="str">
        <f t="shared" si="33"/>
        <v>12370</v>
      </c>
      <c r="F409" t="str">
        <f t="shared" si="33"/>
        <v>23550</v>
      </c>
      <c r="G409" t="str">
        <f t="shared" si="33"/>
        <v>34800</v>
      </c>
      <c r="I409" t="s">
        <v>29</v>
      </c>
      <c r="J409" t="s">
        <v>7</v>
      </c>
      <c r="K409" t="s">
        <v>1212</v>
      </c>
      <c r="L409" t="s">
        <v>421</v>
      </c>
    </row>
    <row r="410" spans="1:12" ht="12.75">
      <c r="A410">
        <f t="shared" si="31"/>
      </c>
      <c r="B410">
        <f t="shared" si="32"/>
      </c>
      <c r="I410" t="s">
        <v>31</v>
      </c>
      <c r="J410" t="s">
        <v>7</v>
      </c>
      <c r="K410" t="s">
        <v>1213</v>
      </c>
      <c r="L410" t="s">
        <v>422</v>
      </c>
    </row>
    <row r="411" spans="1:12" ht="12.75">
      <c r="A411">
        <f t="shared" si="31"/>
      </c>
      <c r="B411">
        <f t="shared" si="32"/>
      </c>
      <c r="I411" t="s">
        <v>33</v>
      </c>
      <c r="J411" t="s">
        <v>7</v>
      </c>
      <c r="K411" t="s">
        <v>1208</v>
      </c>
      <c r="L411" t="s">
        <v>423</v>
      </c>
    </row>
    <row r="412" spans="1:12" ht="12.75">
      <c r="A412">
        <f t="shared" si="31"/>
      </c>
      <c r="B412">
        <f t="shared" si="32"/>
      </c>
      <c r="I412" t="s">
        <v>35</v>
      </c>
      <c r="J412" t="s">
        <v>7</v>
      </c>
      <c r="K412" t="s">
        <v>1209</v>
      </c>
      <c r="L412" t="s">
        <v>424</v>
      </c>
    </row>
    <row r="413" spans="1:12" ht="12.75">
      <c r="A413">
        <f t="shared" si="31"/>
      </c>
      <c r="B413">
        <f t="shared" si="32"/>
      </c>
      <c r="I413" t="s">
        <v>37</v>
      </c>
      <c r="J413" t="s">
        <v>7</v>
      </c>
      <c r="K413" t="s">
        <v>1210</v>
      </c>
      <c r="L413" t="s">
        <v>425</v>
      </c>
    </row>
    <row r="414" spans="1:13" ht="12.75">
      <c r="A414">
        <f t="shared" si="31"/>
      </c>
      <c r="B414">
        <f t="shared" si="32"/>
      </c>
      <c r="I414" t="s">
        <v>21</v>
      </c>
      <c r="J414" t="s">
        <v>7</v>
      </c>
      <c r="K414" t="s">
        <v>1214</v>
      </c>
      <c r="L414" t="s">
        <v>417</v>
      </c>
      <c r="M414" t="s">
        <v>39</v>
      </c>
    </row>
    <row r="415" spans="1:2" ht="12.75">
      <c r="A415">
        <f t="shared" si="31"/>
      </c>
      <c r="B415">
        <f t="shared" si="32"/>
      </c>
    </row>
    <row r="416" spans="1:10" ht="12.75">
      <c r="A416">
        <f t="shared" si="31"/>
      </c>
      <c r="B416">
        <f t="shared" si="32"/>
      </c>
      <c r="I416" t="s">
        <v>40</v>
      </c>
      <c r="J416" t="s">
        <v>216</v>
      </c>
    </row>
    <row r="417" spans="1:14" ht="12.75">
      <c r="A417">
        <f t="shared" si="31"/>
      </c>
      <c r="B417">
        <f t="shared" si="32"/>
      </c>
      <c r="I417" t="s">
        <v>41</v>
      </c>
      <c r="J417" t="s">
        <v>42</v>
      </c>
      <c r="K417" t="s">
        <v>1731</v>
      </c>
      <c r="L417" t="s">
        <v>43</v>
      </c>
      <c r="M417">
        <v>0.3226015</v>
      </c>
      <c r="N417" t="s">
        <v>1251</v>
      </c>
    </row>
    <row r="418" spans="1:10" ht="12.75">
      <c r="A418">
        <f t="shared" si="31"/>
      </c>
      <c r="B418">
        <f t="shared" si="32"/>
      </c>
      <c r="I418" t="s">
        <v>1732</v>
      </c>
      <c r="J418" t="s">
        <v>7</v>
      </c>
    </row>
    <row r="419" spans="1:12" ht="12.75">
      <c r="A419">
        <f t="shared" si="31"/>
      </c>
      <c r="B419">
        <f t="shared" si="32"/>
      </c>
      <c r="I419" t="s">
        <v>1733</v>
      </c>
      <c r="J419" t="s">
        <v>9</v>
      </c>
      <c r="L419" t="s">
        <v>7</v>
      </c>
    </row>
    <row r="420" spans="1:12" ht="12.75">
      <c r="A420">
        <f t="shared" si="31"/>
      </c>
      <c r="B420">
        <f t="shared" si="32"/>
      </c>
      <c r="I420" t="s">
        <v>10</v>
      </c>
      <c r="J420" t="s">
        <v>11</v>
      </c>
      <c r="L420" t="s">
        <v>12</v>
      </c>
    </row>
    <row r="421" spans="1:10" ht="12.75">
      <c r="A421">
        <f t="shared" si="31"/>
      </c>
      <c r="B421">
        <f t="shared" si="32"/>
      </c>
      <c r="I421" t="s">
        <v>13</v>
      </c>
      <c r="J421" t="s">
        <v>2</v>
      </c>
    </row>
    <row r="422" spans="1:12" ht="12.75">
      <c r="A422">
        <f t="shared" si="31"/>
      </c>
      <c r="B422">
        <f t="shared" si="32"/>
      </c>
      <c r="E422" t="s">
        <v>1164</v>
      </c>
      <c r="F422" t="s">
        <v>1205</v>
      </c>
      <c r="G422" t="s">
        <v>1163</v>
      </c>
      <c r="I422" t="s">
        <v>14</v>
      </c>
      <c r="J422" t="s">
        <v>15</v>
      </c>
      <c r="K422" t="s">
        <v>1205</v>
      </c>
      <c r="L422" t="s">
        <v>15</v>
      </c>
    </row>
    <row r="423" spans="1:10" ht="12.75">
      <c r="A423" t="str">
        <f t="shared" si="31"/>
        <v>CHF</v>
      </c>
      <c r="B423" t="str">
        <f t="shared" si="32"/>
        <v>ZRH</v>
      </c>
      <c r="C423" t="s">
        <v>1011</v>
      </c>
      <c r="D423">
        <v>1</v>
      </c>
      <c r="E423" t="str">
        <f ca="1">VLOOKUP(E$9&amp;"RWSTAR"&amp;$D423,OFFSET($K423,0,0,MATCH(1,D426:D471,0),2),2,FALSE)</f>
        <v>3650R</v>
      </c>
      <c r="F423" t="str">
        <f ca="1">VLOOKUP(F$9&amp;"RWSTAR"&amp;$D423,OFFSET($K423,0,0,MATCH(1,D426:D471,0),2),2,FALSE)</f>
        <v>7875R</v>
      </c>
      <c r="G423" t="str">
        <f ca="1">VLOOKUP(G$9&amp;"RWSTAR"&amp;$D423,OFFSET($K423,0,0,MATCH(1,D426:D471,0),2),2,FALSE)</f>
        <v>12100R</v>
      </c>
      <c r="I423" t="s">
        <v>1325</v>
      </c>
      <c r="J423" t="s">
        <v>16</v>
      </c>
    </row>
    <row r="424" spans="1:12" ht="12.75">
      <c r="A424">
        <f t="shared" si="31"/>
      </c>
      <c r="B424">
        <f t="shared" si="32"/>
      </c>
      <c r="D424">
        <v>2</v>
      </c>
      <c r="E424" t="str">
        <f ca="1">VLOOKUP(E$9&amp;"RWSTAR"&amp;$D424,OFFSET($K424,0,0,MATCH(1,D426:D471,0),2),2,FALSE)</f>
        <v>4190R</v>
      </c>
      <c r="F424" t="str">
        <f ca="1">VLOOKUP(F$9&amp;"RWSTAR"&amp;$D424,OFFSET($K424,0,0,MATCH(1,D426:D471,0),2),2,FALSE)</f>
        <v>9075R</v>
      </c>
      <c r="G424" t="str">
        <f ca="1">VLOOKUP(G$9&amp;"RWSTAR"&amp;$D424,OFFSET($K424,0,0,MATCH(1,D426:D471,0),2),2,FALSE)</f>
        <v>13900R</v>
      </c>
      <c r="I424" t="s">
        <v>17</v>
      </c>
      <c r="J424" t="s">
        <v>7</v>
      </c>
      <c r="K424" t="s">
        <v>19</v>
      </c>
      <c r="L424" t="s">
        <v>1734</v>
      </c>
    </row>
    <row r="425" spans="1:15" ht="12.75">
      <c r="A425">
        <f t="shared" si="31"/>
      </c>
      <c r="B425">
        <f t="shared" si="32"/>
      </c>
      <c r="D425">
        <v>3</v>
      </c>
      <c r="E425" t="str">
        <f ca="1">VLOOKUP(E$9&amp;"RWSTAR"&amp;$D425,OFFSET($K425,0,0,MATCH(1,D426:D471,0),2),2,FALSE)</f>
        <v>4920R</v>
      </c>
      <c r="F425" t="str">
        <f ca="1">VLOOKUP(F$9&amp;"RWSTAR"&amp;$D425,OFFSET($K425,0,0,MATCH(1,D426:D471,0),2),2,FALSE)</f>
        <v>10650R</v>
      </c>
      <c r="G425" t="str">
        <f ca="1">VLOOKUP(G$9&amp;"RWSTAR"&amp;$D425,OFFSET($K425,0,0,MATCH(1,D426:D471,0),2),2,FALSE)</f>
        <v>16350R</v>
      </c>
      <c r="I425" t="s">
        <v>21</v>
      </c>
      <c r="J425" t="s">
        <v>7</v>
      </c>
      <c r="K425" t="s">
        <v>1214</v>
      </c>
      <c r="L425" t="s">
        <v>1735</v>
      </c>
      <c r="O425" t="s">
        <v>1735</v>
      </c>
    </row>
    <row r="426" spans="1:15" ht="12.75">
      <c r="A426">
        <f t="shared" si="31"/>
      </c>
      <c r="B426">
        <f t="shared" si="32"/>
      </c>
      <c r="I426" t="s">
        <v>23</v>
      </c>
      <c r="J426" t="s">
        <v>7</v>
      </c>
      <c r="K426" t="s">
        <v>1215</v>
      </c>
      <c r="L426" t="s">
        <v>1736</v>
      </c>
      <c r="O426" t="s">
        <v>1736</v>
      </c>
    </row>
    <row r="427" spans="1:15" ht="12.75">
      <c r="A427">
        <f t="shared" si="31"/>
      </c>
      <c r="B427">
        <f t="shared" si="32"/>
      </c>
      <c r="E427" t="str">
        <f aca="true" t="shared" si="34" ref="E427:G429">(LEFT(E423,LEN(E423)-1))</f>
        <v>3650</v>
      </c>
      <c r="F427" t="str">
        <f t="shared" si="34"/>
        <v>7875</v>
      </c>
      <c r="G427" t="str">
        <f t="shared" si="34"/>
        <v>12100</v>
      </c>
      <c r="I427" t="s">
        <v>25</v>
      </c>
      <c r="J427" t="s">
        <v>7</v>
      </c>
      <c r="K427" t="s">
        <v>1216</v>
      </c>
      <c r="L427" t="s">
        <v>1737</v>
      </c>
      <c r="O427" t="s">
        <v>1737</v>
      </c>
    </row>
    <row r="428" spans="1:15" ht="12.75">
      <c r="A428">
        <f t="shared" si="31"/>
      </c>
      <c r="B428">
        <f t="shared" si="32"/>
      </c>
      <c r="E428" t="str">
        <f t="shared" si="34"/>
        <v>4190</v>
      </c>
      <c r="F428" t="str">
        <f t="shared" si="34"/>
        <v>9075</v>
      </c>
      <c r="G428" t="str">
        <f t="shared" si="34"/>
        <v>13900</v>
      </c>
      <c r="I428" t="s">
        <v>27</v>
      </c>
      <c r="J428" t="s">
        <v>7</v>
      </c>
      <c r="K428" t="s">
        <v>1211</v>
      </c>
      <c r="L428" t="s">
        <v>185</v>
      </c>
      <c r="O428" t="s">
        <v>1738</v>
      </c>
    </row>
    <row r="429" spans="1:15" ht="12.75">
      <c r="A429">
        <f t="shared" si="31"/>
      </c>
      <c r="B429">
        <f t="shared" si="32"/>
      </c>
      <c r="E429" t="str">
        <f t="shared" si="34"/>
        <v>4920</v>
      </c>
      <c r="F429" t="str">
        <f t="shared" si="34"/>
        <v>10650</v>
      </c>
      <c r="G429" t="str">
        <f t="shared" si="34"/>
        <v>16350</v>
      </c>
      <c r="I429" t="s">
        <v>29</v>
      </c>
      <c r="J429" t="s">
        <v>7</v>
      </c>
      <c r="K429" t="s">
        <v>1212</v>
      </c>
      <c r="L429" t="s">
        <v>186</v>
      </c>
      <c r="O429" t="s">
        <v>1739</v>
      </c>
    </row>
    <row r="430" spans="1:15" ht="12.75">
      <c r="A430">
        <f t="shared" si="31"/>
      </c>
      <c r="B430">
        <f t="shared" si="32"/>
      </c>
      <c r="I430" t="s">
        <v>31</v>
      </c>
      <c r="J430" t="s">
        <v>7</v>
      </c>
      <c r="K430" t="s">
        <v>1213</v>
      </c>
      <c r="L430" t="s">
        <v>1442</v>
      </c>
      <c r="O430" t="s">
        <v>1740</v>
      </c>
    </row>
    <row r="431" spans="1:15" ht="12.75">
      <c r="A431">
        <f t="shared" si="31"/>
      </c>
      <c r="B431">
        <f t="shared" si="32"/>
      </c>
      <c r="I431" t="s">
        <v>33</v>
      </c>
      <c r="J431" t="s">
        <v>7</v>
      </c>
      <c r="K431" t="s">
        <v>1208</v>
      </c>
      <c r="L431" t="s">
        <v>182</v>
      </c>
      <c r="O431" t="s">
        <v>1741</v>
      </c>
    </row>
    <row r="432" spans="1:15" ht="12.75">
      <c r="A432">
        <f t="shared" si="31"/>
      </c>
      <c r="B432">
        <f t="shared" si="32"/>
      </c>
      <c r="I432" t="s">
        <v>35</v>
      </c>
      <c r="J432" t="s">
        <v>7</v>
      </c>
      <c r="K432" t="s">
        <v>1209</v>
      </c>
      <c r="L432" t="s">
        <v>183</v>
      </c>
      <c r="O432" t="s">
        <v>1742</v>
      </c>
    </row>
    <row r="433" spans="1:15" ht="12.75">
      <c r="A433">
        <f t="shared" si="31"/>
      </c>
      <c r="B433">
        <f t="shared" si="32"/>
      </c>
      <c r="I433" t="s">
        <v>37</v>
      </c>
      <c r="J433" t="s">
        <v>7</v>
      </c>
      <c r="K433" t="s">
        <v>1210</v>
      </c>
      <c r="L433" t="s">
        <v>184</v>
      </c>
      <c r="O433" t="s">
        <v>1743</v>
      </c>
    </row>
    <row r="434" spans="1:15" ht="12.75">
      <c r="A434">
        <f t="shared" si="31"/>
      </c>
      <c r="B434">
        <f t="shared" si="32"/>
      </c>
      <c r="I434" t="s">
        <v>21</v>
      </c>
      <c r="J434" t="s">
        <v>7</v>
      </c>
      <c r="K434" t="s">
        <v>1214</v>
      </c>
      <c r="L434" t="s">
        <v>1735</v>
      </c>
      <c r="M434" t="s">
        <v>39</v>
      </c>
      <c r="O434" t="s">
        <v>1735</v>
      </c>
    </row>
    <row r="435" spans="1:2" ht="12.75">
      <c r="A435">
        <f t="shared" si="31"/>
      </c>
      <c r="B435">
        <f t="shared" si="32"/>
      </c>
    </row>
    <row r="436" spans="1:10" ht="12.75">
      <c r="A436">
        <f t="shared" si="31"/>
      </c>
      <c r="B436">
        <f t="shared" si="32"/>
      </c>
      <c r="I436" t="s">
        <v>40</v>
      </c>
      <c r="J436" t="s">
        <v>217</v>
      </c>
    </row>
    <row r="437" spans="1:14" ht="12.75">
      <c r="A437">
        <f t="shared" si="31"/>
      </c>
      <c r="B437">
        <f t="shared" si="32"/>
      </c>
      <c r="I437" t="s">
        <v>41</v>
      </c>
      <c r="J437" t="s">
        <v>42</v>
      </c>
      <c r="K437" t="s">
        <v>1744</v>
      </c>
      <c r="L437" t="s">
        <v>43</v>
      </c>
      <c r="M437">
        <v>0.8175946</v>
      </c>
      <c r="N437" t="s">
        <v>1251</v>
      </c>
    </row>
    <row r="438" spans="1:13" ht="12.75">
      <c r="A438">
        <f t="shared" si="31"/>
      </c>
      <c r="B438">
        <f t="shared" si="32"/>
      </c>
      <c r="I438" t="s">
        <v>21</v>
      </c>
      <c r="J438" t="s">
        <v>7</v>
      </c>
      <c r="K438" t="s">
        <v>1214</v>
      </c>
      <c r="L438" t="s">
        <v>1735</v>
      </c>
      <c r="M438" t="s">
        <v>39</v>
      </c>
    </row>
    <row r="439" spans="1:2" ht="12.75">
      <c r="A439">
        <f t="shared" si="31"/>
      </c>
      <c r="B439">
        <f t="shared" si="32"/>
      </c>
    </row>
    <row r="440" spans="1:10" ht="12.75">
      <c r="A440">
        <f t="shared" si="31"/>
      </c>
      <c r="B440">
        <f t="shared" si="32"/>
      </c>
      <c r="I440" t="s">
        <v>40</v>
      </c>
      <c r="J440" t="s">
        <v>218</v>
      </c>
    </row>
    <row r="441" spans="1:14" ht="12.75">
      <c r="A441">
        <f t="shared" si="31"/>
      </c>
      <c r="B441">
        <f t="shared" si="32"/>
      </c>
      <c r="I441" t="s">
        <v>41</v>
      </c>
      <c r="J441" t="s">
        <v>42</v>
      </c>
      <c r="K441" t="s">
        <v>1744</v>
      </c>
      <c r="L441" t="s">
        <v>43</v>
      </c>
      <c r="M441">
        <v>0.6411054</v>
      </c>
      <c r="N441" t="s">
        <v>1308</v>
      </c>
    </row>
    <row r="442" spans="1:12" ht="12.75">
      <c r="A442">
        <f t="shared" si="31"/>
      </c>
      <c r="B442">
        <f t="shared" si="32"/>
      </c>
      <c r="I442" t="s">
        <v>1745</v>
      </c>
      <c r="J442" t="s">
        <v>1635</v>
      </c>
      <c r="L442" t="s">
        <v>1746</v>
      </c>
    </row>
    <row r="443" spans="1:10" ht="12.75">
      <c r="A443">
        <f t="shared" si="31"/>
      </c>
      <c r="B443">
        <f t="shared" si="32"/>
      </c>
      <c r="I443" t="s">
        <v>1747</v>
      </c>
      <c r="J443" t="s">
        <v>7</v>
      </c>
    </row>
    <row r="444" spans="1:12" ht="12.75">
      <c r="A444">
        <f t="shared" si="31"/>
      </c>
      <c r="B444">
        <f t="shared" si="32"/>
      </c>
      <c r="I444" t="s">
        <v>1749</v>
      </c>
      <c r="J444" t="s">
        <v>9</v>
      </c>
      <c r="L444" t="s">
        <v>7</v>
      </c>
    </row>
    <row r="445" spans="1:12" ht="12.75">
      <c r="A445">
        <f t="shared" si="31"/>
      </c>
      <c r="B445">
        <f t="shared" si="32"/>
      </c>
      <c r="I445" t="s">
        <v>10</v>
      </c>
      <c r="J445" t="s">
        <v>11</v>
      </c>
      <c r="L445" t="s">
        <v>12</v>
      </c>
    </row>
    <row r="446" spans="1:10" ht="12.75">
      <c r="A446">
        <f t="shared" si="31"/>
      </c>
      <c r="B446">
        <f t="shared" si="32"/>
      </c>
      <c r="I446" t="s">
        <v>13</v>
      </c>
      <c r="J446" t="s">
        <v>2</v>
      </c>
    </row>
    <row r="447" spans="1:12" ht="12.75">
      <c r="A447">
        <f t="shared" si="31"/>
      </c>
      <c r="B447">
        <f t="shared" si="32"/>
      </c>
      <c r="E447" t="s">
        <v>1164</v>
      </c>
      <c r="F447" t="s">
        <v>1205</v>
      </c>
      <c r="G447" t="s">
        <v>1163</v>
      </c>
      <c r="I447" t="s">
        <v>14</v>
      </c>
      <c r="J447" t="s">
        <v>15</v>
      </c>
      <c r="K447" t="s">
        <v>1205</v>
      </c>
      <c r="L447" t="s">
        <v>15</v>
      </c>
    </row>
    <row r="448" spans="1:10" ht="12.75">
      <c r="A448" t="str">
        <f t="shared" si="31"/>
        <v>USD</v>
      </c>
      <c r="B448" t="str">
        <f t="shared" si="32"/>
        <v>TLV</v>
      </c>
      <c r="C448" t="s">
        <v>1019</v>
      </c>
      <c r="D448">
        <v>1</v>
      </c>
      <c r="E448" t="str">
        <f ca="1">VLOOKUP(E$9&amp;"RWSTAR"&amp;$D448,OFFSET($K448,0,0,MATCH(1,D451:D496,0),2),2,FALSE)</f>
        <v>2939R</v>
      </c>
      <c r="F448" t="str">
        <f ca="1">VLOOKUP(F$9&amp;"RWSTAR"&amp;$D448,OFFSET($K448,0,0,MATCH(1,D451:D496,0),2),2,FALSE)</f>
        <v>6349R</v>
      </c>
      <c r="G448" t="str">
        <f ca="1">VLOOKUP(G$9&amp;"RWSTAR"&amp;$D448,OFFSET($K448,0,0,MATCH(1,D451:D496,0),2),2,FALSE)</f>
        <v>9789R</v>
      </c>
      <c r="I448" t="s">
        <v>1251</v>
      </c>
      <c r="J448" t="s">
        <v>16</v>
      </c>
    </row>
    <row r="449" spans="1:19" ht="12.75">
      <c r="A449">
        <f t="shared" si="31"/>
      </c>
      <c r="B449">
        <f t="shared" si="32"/>
      </c>
      <c r="D449">
        <v>2</v>
      </c>
      <c r="E449" t="str">
        <f ca="1">VLOOKUP(E$9&amp;"RWSTAR"&amp;$D449,OFFSET($K449,0,0,MATCH(1,D451:D496,0),2),2,FALSE)</f>
        <v>3379R</v>
      </c>
      <c r="F449" t="str">
        <f ca="1">VLOOKUP(F$9&amp;"RWSTAR"&amp;$D449,OFFSET($K449,0,0,MATCH(1,D451:D496,0),2),2,FALSE)</f>
        <v>7289R</v>
      </c>
      <c r="G449" t="str">
        <f ca="1">VLOOKUP(G$9&amp;"RWSTAR"&amp;$D449,OFFSET($K449,0,0,MATCH(1,D451:D496,0),2),2,FALSE)</f>
        <v>11259R</v>
      </c>
      <c r="I449" t="s">
        <v>17</v>
      </c>
      <c r="J449" t="s">
        <v>7</v>
      </c>
      <c r="K449" t="s">
        <v>19</v>
      </c>
      <c r="L449" t="s">
        <v>355</v>
      </c>
      <c r="M449" t="s">
        <v>20</v>
      </c>
      <c r="Q449" t="s">
        <v>7</v>
      </c>
      <c r="R449" t="s">
        <v>19</v>
      </c>
      <c r="S449" t="s">
        <v>426</v>
      </c>
    </row>
    <row r="450" spans="1:19" ht="12.75">
      <c r="A450">
        <f t="shared" si="31"/>
      </c>
      <c r="B450">
        <f t="shared" si="32"/>
      </c>
      <c r="D450">
        <v>3</v>
      </c>
      <c r="E450" t="str">
        <f ca="1">VLOOKUP(E$9&amp;"RWSTAR"&amp;$D450,OFFSET($K450,0,0,MATCH(1,D451:D496,0),2),2,FALSE)</f>
        <v>3969R</v>
      </c>
      <c r="F450" t="str">
        <f ca="1">VLOOKUP(F$9&amp;"RWSTAR"&amp;$D450,OFFSET($K450,0,0,MATCH(1,D451:D496,0),2),2,FALSE)</f>
        <v>8549R</v>
      </c>
      <c r="G450" t="str">
        <f ca="1">VLOOKUP(G$9&amp;"RWSTAR"&amp;$D450,OFFSET($K450,0,0,MATCH(1,D451:D496,0),2),2,FALSE)</f>
        <v>13199R</v>
      </c>
      <c r="I450" t="s">
        <v>21</v>
      </c>
      <c r="J450" t="s">
        <v>7</v>
      </c>
      <c r="K450" t="s">
        <v>1214</v>
      </c>
      <c r="L450" t="s">
        <v>275</v>
      </c>
      <c r="M450" t="s">
        <v>327</v>
      </c>
      <c r="Q450" t="s">
        <v>7</v>
      </c>
      <c r="R450" t="s">
        <v>1214</v>
      </c>
      <c r="S450" t="s">
        <v>427</v>
      </c>
    </row>
    <row r="451" spans="1:19" ht="12.75">
      <c r="A451">
        <f t="shared" si="31"/>
      </c>
      <c r="B451">
        <f t="shared" si="32"/>
      </c>
      <c r="I451" t="s">
        <v>23</v>
      </c>
      <c r="J451" t="s">
        <v>7</v>
      </c>
      <c r="K451" t="s">
        <v>1215</v>
      </c>
      <c r="L451" t="s">
        <v>276</v>
      </c>
      <c r="M451" t="s">
        <v>327</v>
      </c>
      <c r="Q451" t="s">
        <v>7</v>
      </c>
      <c r="R451" t="s">
        <v>1215</v>
      </c>
      <c r="S451" t="s">
        <v>428</v>
      </c>
    </row>
    <row r="452" spans="1:19" ht="12.75">
      <c r="A452">
        <f t="shared" si="31"/>
      </c>
      <c r="B452">
        <f t="shared" si="32"/>
      </c>
      <c r="E452" t="str">
        <f aca="true" t="shared" si="35" ref="E452:G454">(LEFT(E448,LEN(E448)-1))</f>
        <v>2939</v>
      </c>
      <c r="F452" t="str">
        <f t="shared" si="35"/>
        <v>6349</v>
      </c>
      <c r="G452" t="str">
        <f t="shared" si="35"/>
        <v>9789</v>
      </c>
      <c r="I452" t="s">
        <v>25</v>
      </c>
      <c r="J452" t="s">
        <v>7</v>
      </c>
      <c r="K452" t="s">
        <v>1216</v>
      </c>
      <c r="L452" t="s">
        <v>277</v>
      </c>
      <c r="M452" t="s">
        <v>327</v>
      </c>
      <c r="Q452" t="s">
        <v>7</v>
      </c>
      <c r="R452" t="s">
        <v>1216</v>
      </c>
      <c r="S452" t="s">
        <v>429</v>
      </c>
    </row>
    <row r="453" spans="1:19" ht="12.75">
      <c r="A453">
        <f t="shared" si="31"/>
      </c>
      <c r="B453">
        <f t="shared" si="32"/>
      </c>
      <c r="E453" t="str">
        <f t="shared" si="35"/>
        <v>3379</v>
      </c>
      <c r="F453" t="str">
        <f t="shared" si="35"/>
        <v>7289</v>
      </c>
      <c r="G453" t="str">
        <f t="shared" si="35"/>
        <v>11259</v>
      </c>
      <c r="I453" t="s">
        <v>27</v>
      </c>
      <c r="J453" t="s">
        <v>7</v>
      </c>
      <c r="K453" t="s">
        <v>1211</v>
      </c>
      <c r="L453" t="s">
        <v>278</v>
      </c>
      <c r="M453" t="s">
        <v>1368</v>
      </c>
      <c r="Q453" t="s">
        <v>7</v>
      </c>
      <c r="R453" t="s">
        <v>1211</v>
      </c>
      <c r="S453" t="s">
        <v>430</v>
      </c>
    </row>
    <row r="454" spans="1:19" ht="12.75">
      <c r="A454">
        <f t="shared" si="31"/>
      </c>
      <c r="B454">
        <f t="shared" si="32"/>
      </c>
      <c r="E454" t="str">
        <f t="shared" si="35"/>
        <v>3969</v>
      </c>
      <c r="F454" t="str">
        <f t="shared" si="35"/>
        <v>8549</v>
      </c>
      <c r="G454" t="str">
        <f t="shared" si="35"/>
        <v>13199</v>
      </c>
      <c r="I454" t="s">
        <v>29</v>
      </c>
      <c r="J454" t="s">
        <v>7</v>
      </c>
      <c r="K454" t="s">
        <v>1212</v>
      </c>
      <c r="L454" t="s">
        <v>279</v>
      </c>
      <c r="M454" t="s">
        <v>1368</v>
      </c>
      <c r="Q454" t="s">
        <v>7</v>
      </c>
      <c r="R454" t="s">
        <v>1212</v>
      </c>
      <c r="S454" t="s">
        <v>431</v>
      </c>
    </row>
    <row r="455" spans="1:19" ht="12.75">
      <c r="A455">
        <f t="shared" si="31"/>
      </c>
      <c r="B455">
        <f t="shared" si="32"/>
      </c>
      <c r="I455" t="s">
        <v>31</v>
      </c>
      <c r="J455" t="s">
        <v>7</v>
      </c>
      <c r="K455" t="s">
        <v>1213</v>
      </c>
      <c r="L455" t="s">
        <v>280</v>
      </c>
      <c r="M455" t="s">
        <v>1368</v>
      </c>
      <c r="Q455" t="s">
        <v>7</v>
      </c>
      <c r="R455" t="s">
        <v>1213</v>
      </c>
      <c r="S455" t="s">
        <v>432</v>
      </c>
    </row>
    <row r="456" spans="1:19" ht="12.75">
      <c r="A456">
        <f t="shared" si="31"/>
      </c>
      <c r="B456">
        <f t="shared" si="32"/>
      </c>
      <c r="I456" t="s">
        <v>33</v>
      </c>
      <c r="J456" t="s">
        <v>7</v>
      </c>
      <c r="K456" t="s">
        <v>1208</v>
      </c>
      <c r="L456" t="s">
        <v>281</v>
      </c>
      <c r="M456" t="s">
        <v>1367</v>
      </c>
      <c r="Q456" t="s">
        <v>7</v>
      </c>
      <c r="R456" t="s">
        <v>1208</v>
      </c>
      <c r="S456" t="s">
        <v>433</v>
      </c>
    </row>
    <row r="457" spans="1:19" ht="12.75">
      <c r="A457">
        <f aca="true" t="shared" si="36" ref="A457:A520">IF(J457="BASIS",I457,"")</f>
      </c>
      <c r="B457">
        <f aca="true" t="shared" si="37" ref="B457:B520">IF(A457&lt;&gt;"",LEFT(I453,3),"")</f>
      </c>
      <c r="I457" t="s">
        <v>35</v>
      </c>
      <c r="J457" t="s">
        <v>7</v>
      </c>
      <c r="K457" t="s">
        <v>1209</v>
      </c>
      <c r="L457" t="s">
        <v>282</v>
      </c>
      <c r="M457" t="s">
        <v>1367</v>
      </c>
      <c r="Q457" t="s">
        <v>7</v>
      </c>
      <c r="R457" t="s">
        <v>1209</v>
      </c>
      <c r="S457" t="s">
        <v>434</v>
      </c>
    </row>
    <row r="458" spans="1:19" ht="12.75">
      <c r="A458">
        <f t="shared" si="36"/>
      </c>
      <c r="B458">
        <f t="shared" si="37"/>
      </c>
      <c r="I458" t="s">
        <v>37</v>
      </c>
      <c r="J458" t="s">
        <v>7</v>
      </c>
      <c r="K458" t="s">
        <v>1210</v>
      </c>
      <c r="L458" t="s">
        <v>518</v>
      </c>
      <c r="M458" t="s">
        <v>1367</v>
      </c>
      <c r="Q458" t="s">
        <v>7</v>
      </c>
      <c r="R458" t="s">
        <v>1210</v>
      </c>
      <c r="S458" t="s">
        <v>435</v>
      </c>
    </row>
    <row r="459" spans="1:10" ht="12.75">
      <c r="A459">
        <f t="shared" si="36"/>
      </c>
      <c r="B459">
        <f t="shared" si="37"/>
      </c>
      <c r="I459" t="s">
        <v>1750</v>
      </c>
      <c r="J459" t="s">
        <v>7</v>
      </c>
    </row>
    <row r="460" spans="1:12" ht="12.75">
      <c r="A460">
        <f t="shared" si="36"/>
      </c>
      <c r="B460">
        <f t="shared" si="37"/>
      </c>
      <c r="I460" t="s">
        <v>1751</v>
      </c>
      <c r="J460" t="s">
        <v>9</v>
      </c>
      <c r="L460" t="s">
        <v>7</v>
      </c>
    </row>
    <row r="461" spans="1:12" ht="12.75">
      <c r="A461">
        <f t="shared" si="36"/>
      </c>
      <c r="B461">
        <f t="shared" si="37"/>
      </c>
      <c r="I461" t="s">
        <v>10</v>
      </c>
      <c r="J461" t="s">
        <v>11</v>
      </c>
      <c r="L461" t="s">
        <v>12</v>
      </c>
    </row>
    <row r="462" spans="1:10" ht="12.75">
      <c r="A462">
        <f t="shared" si="36"/>
      </c>
      <c r="B462">
        <f t="shared" si="37"/>
      </c>
      <c r="I462" t="s">
        <v>13</v>
      </c>
      <c r="J462" t="s">
        <v>2</v>
      </c>
    </row>
    <row r="463" spans="1:12" ht="12.75">
      <c r="A463">
        <f t="shared" si="36"/>
      </c>
      <c r="B463">
        <f t="shared" si="37"/>
      </c>
      <c r="E463" t="s">
        <v>1164</v>
      </c>
      <c r="F463" t="s">
        <v>1205</v>
      </c>
      <c r="G463" t="s">
        <v>1163</v>
      </c>
      <c r="I463" t="s">
        <v>14</v>
      </c>
      <c r="J463" t="s">
        <v>15</v>
      </c>
      <c r="K463" t="s">
        <v>1205</v>
      </c>
      <c r="L463" t="s">
        <v>15</v>
      </c>
    </row>
    <row r="464" spans="1:10" ht="12.75">
      <c r="A464" t="str">
        <f t="shared" si="36"/>
        <v>USD</v>
      </c>
      <c r="B464" t="str">
        <f t="shared" si="37"/>
        <v>BEY</v>
      </c>
      <c r="C464" t="s">
        <v>1022</v>
      </c>
      <c r="D464">
        <v>1</v>
      </c>
      <c r="E464" t="str">
        <f ca="1">VLOOKUP(E$9&amp;"RWSTAR"&amp;$D464,OFFSET($K464,0,0,MATCH(1,D467:D512,0),2),2,FALSE)</f>
        <v>2939R</v>
      </c>
      <c r="F464" t="str">
        <f ca="1">VLOOKUP(F$9&amp;"RWSTAR"&amp;$D464,OFFSET($K464,0,0,MATCH(1,D467:D512,0),2),2,FALSE)</f>
        <v>6349R</v>
      </c>
      <c r="G464" t="str">
        <f ca="1">VLOOKUP(G$9&amp;"RWSTAR"&amp;$D464,OFFSET($K464,0,0,MATCH(1,D467:D512,0),2),2,FALSE)</f>
        <v>9789R</v>
      </c>
      <c r="I464" t="s">
        <v>1251</v>
      </c>
      <c r="J464" t="s">
        <v>16</v>
      </c>
    </row>
    <row r="465" spans="1:19" ht="12.75">
      <c r="A465">
        <f t="shared" si="36"/>
      </c>
      <c r="B465">
        <f t="shared" si="37"/>
      </c>
      <c r="D465">
        <v>2</v>
      </c>
      <c r="E465" t="str">
        <f ca="1">VLOOKUP(E$9&amp;"RWSTAR"&amp;$D465,OFFSET($K465,0,0,MATCH(1,D467:D512,0),2),2,FALSE)</f>
        <v>3379R</v>
      </c>
      <c r="F465" t="str">
        <f ca="1">VLOOKUP(F$9&amp;"RWSTAR"&amp;$D465,OFFSET($K465,0,0,MATCH(1,D467:D512,0),2),2,FALSE)</f>
        <v>7289R</v>
      </c>
      <c r="G465" t="str">
        <f ca="1">VLOOKUP(G$9&amp;"RWSTAR"&amp;$D465,OFFSET($K465,0,0,MATCH(1,D467:D512,0),2),2,FALSE)</f>
        <v>11259R</v>
      </c>
      <c r="I465" t="s">
        <v>35</v>
      </c>
      <c r="J465" t="s">
        <v>7</v>
      </c>
      <c r="K465" t="s">
        <v>1211</v>
      </c>
      <c r="L465" t="s">
        <v>278</v>
      </c>
      <c r="M465" t="s">
        <v>1368</v>
      </c>
      <c r="Q465" t="s">
        <v>7</v>
      </c>
      <c r="R465" t="s">
        <v>1214</v>
      </c>
      <c r="S465" t="s">
        <v>427</v>
      </c>
    </row>
    <row r="466" spans="1:19" ht="12.75">
      <c r="A466">
        <f t="shared" si="36"/>
      </c>
      <c r="B466">
        <f t="shared" si="37"/>
      </c>
      <c r="D466">
        <v>3</v>
      </c>
      <c r="E466" t="str">
        <f ca="1">VLOOKUP(E$9&amp;"RWSTAR"&amp;$D466,OFFSET($K466,0,0,MATCH(1,D467:D512,0),2),2,FALSE)</f>
        <v>3969R</v>
      </c>
      <c r="F466" t="str">
        <f ca="1">VLOOKUP(F$9&amp;"RWSTAR"&amp;$D466,OFFSET($K466,0,0,MATCH(1,D467:D512,0),2),2,FALSE)</f>
        <v>8549R</v>
      </c>
      <c r="G466" t="str">
        <f ca="1">VLOOKUP(G$9&amp;"RWSTAR"&amp;$D466,OFFSET($K466,0,0,MATCH(1,D467:D512,0),2),2,FALSE)</f>
        <v>13199R</v>
      </c>
      <c r="I466" t="s">
        <v>58</v>
      </c>
      <c r="J466" t="s">
        <v>7</v>
      </c>
      <c r="K466" t="s">
        <v>1212</v>
      </c>
      <c r="L466" t="s">
        <v>279</v>
      </c>
      <c r="M466" t="s">
        <v>1368</v>
      </c>
      <c r="Q466" t="s">
        <v>7</v>
      </c>
      <c r="R466" t="s">
        <v>1215</v>
      </c>
      <c r="S466" t="s">
        <v>428</v>
      </c>
    </row>
    <row r="467" spans="1:19" ht="12.75">
      <c r="A467">
        <f t="shared" si="36"/>
      </c>
      <c r="B467">
        <f t="shared" si="37"/>
      </c>
      <c r="I467" t="s">
        <v>60</v>
      </c>
      <c r="J467" t="s">
        <v>7</v>
      </c>
      <c r="K467" t="s">
        <v>1213</v>
      </c>
      <c r="L467" t="s">
        <v>280</v>
      </c>
      <c r="M467" t="s">
        <v>1368</v>
      </c>
      <c r="Q467" t="s">
        <v>7</v>
      </c>
      <c r="R467" t="s">
        <v>1216</v>
      </c>
      <c r="S467" t="s">
        <v>429</v>
      </c>
    </row>
    <row r="468" spans="1:19" ht="12.75">
      <c r="A468">
        <f t="shared" si="36"/>
      </c>
      <c r="B468">
        <f t="shared" si="37"/>
      </c>
      <c r="E468" t="str">
        <f aca="true" t="shared" si="38" ref="E468:G470">(LEFT(E464,LEN(E464)-1))</f>
        <v>2939</v>
      </c>
      <c r="F468" t="str">
        <f t="shared" si="38"/>
        <v>6349</v>
      </c>
      <c r="G468" t="str">
        <f t="shared" si="38"/>
        <v>9789</v>
      </c>
      <c r="I468" t="s">
        <v>62</v>
      </c>
      <c r="J468" t="s">
        <v>7</v>
      </c>
      <c r="K468" t="s">
        <v>1208</v>
      </c>
      <c r="L468" t="s">
        <v>281</v>
      </c>
      <c r="M468" t="s">
        <v>1367</v>
      </c>
      <c r="Q468" t="s">
        <v>7</v>
      </c>
      <c r="R468" t="s">
        <v>1211</v>
      </c>
      <c r="S468" t="s">
        <v>430</v>
      </c>
    </row>
    <row r="469" spans="1:19" ht="12.75">
      <c r="A469">
        <f t="shared" si="36"/>
      </c>
      <c r="B469">
        <f t="shared" si="37"/>
      </c>
      <c r="E469" t="str">
        <f t="shared" si="38"/>
        <v>3379</v>
      </c>
      <c r="F469" t="str">
        <f t="shared" si="38"/>
        <v>7289</v>
      </c>
      <c r="G469" t="str">
        <f t="shared" si="38"/>
        <v>11259</v>
      </c>
      <c r="I469" t="s">
        <v>1688</v>
      </c>
      <c r="J469" t="s">
        <v>7</v>
      </c>
      <c r="K469" t="s">
        <v>1209</v>
      </c>
      <c r="L469" t="s">
        <v>282</v>
      </c>
      <c r="M469" t="s">
        <v>1367</v>
      </c>
      <c r="Q469" t="s">
        <v>7</v>
      </c>
      <c r="R469" t="s">
        <v>1212</v>
      </c>
      <c r="S469" t="s">
        <v>431</v>
      </c>
    </row>
    <row r="470" spans="1:19" ht="12.75">
      <c r="A470">
        <f t="shared" si="36"/>
      </c>
      <c r="B470">
        <f t="shared" si="37"/>
      </c>
      <c r="E470" t="str">
        <f t="shared" si="38"/>
        <v>3969</v>
      </c>
      <c r="F470" t="str">
        <f t="shared" si="38"/>
        <v>8549</v>
      </c>
      <c r="G470" t="str">
        <f t="shared" si="38"/>
        <v>13199</v>
      </c>
      <c r="I470" t="s">
        <v>1689</v>
      </c>
      <c r="J470" t="s">
        <v>7</v>
      </c>
      <c r="K470" t="s">
        <v>1210</v>
      </c>
      <c r="L470" t="s">
        <v>518</v>
      </c>
      <c r="M470" t="s">
        <v>1367</v>
      </c>
      <c r="Q470" t="s">
        <v>7</v>
      </c>
      <c r="R470" t="s">
        <v>1213</v>
      </c>
      <c r="S470" t="s">
        <v>432</v>
      </c>
    </row>
    <row r="471" spans="1:19" ht="12.75">
      <c r="A471">
        <f t="shared" si="36"/>
      </c>
      <c r="B471">
        <f t="shared" si="37"/>
      </c>
      <c r="I471" t="s">
        <v>29</v>
      </c>
      <c r="J471" t="s">
        <v>7</v>
      </c>
      <c r="K471" t="s">
        <v>1216</v>
      </c>
      <c r="L471" t="s">
        <v>277</v>
      </c>
      <c r="M471" t="s">
        <v>327</v>
      </c>
      <c r="Q471" t="s">
        <v>7</v>
      </c>
      <c r="R471" t="s">
        <v>1208</v>
      </c>
      <c r="S471" t="s">
        <v>433</v>
      </c>
    </row>
    <row r="472" spans="1:19" ht="12.75">
      <c r="A472">
        <f t="shared" si="36"/>
      </c>
      <c r="B472">
        <f t="shared" si="37"/>
      </c>
      <c r="I472" t="s">
        <v>243</v>
      </c>
      <c r="J472" t="s">
        <v>7</v>
      </c>
      <c r="K472" t="s">
        <v>1215</v>
      </c>
      <c r="L472" t="s">
        <v>276</v>
      </c>
      <c r="M472" t="s">
        <v>327</v>
      </c>
      <c r="Q472" t="s">
        <v>7</v>
      </c>
      <c r="R472" t="s">
        <v>1209</v>
      </c>
      <c r="S472" t="s">
        <v>434</v>
      </c>
    </row>
    <row r="473" spans="1:19" ht="12.75">
      <c r="A473">
        <f t="shared" si="36"/>
      </c>
      <c r="B473">
        <f t="shared" si="37"/>
      </c>
      <c r="I473" t="s">
        <v>244</v>
      </c>
      <c r="J473" t="s">
        <v>7</v>
      </c>
      <c r="K473" t="s">
        <v>1214</v>
      </c>
      <c r="L473" t="s">
        <v>275</v>
      </c>
      <c r="M473" t="s">
        <v>327</v>
      </c>
      <c r="Q473" t="s">
        <v>7</v>
      </c>
      <c r="R473" t="s">
        <v>1210</v>
      </c>
      <c r="S473" t="s">
        <v>435</v>
      </c>
    </row>
    <row r="474" spans="1:12" ht="12.75">
      <c r="A474">
        <f t="shared" si="36"/>
      </c>
      <c r="B474">
        <f t="shared" si="37"/>
      </c>
      <c r="I474" t="s">
        <v>1752</v>
      </c>
      <c r="J474" t="s">
        <v>1623</v>
      </c>
      <c r="L474" t="s">
        <v>7</v>
      </c>
    </row>
    <row r="475" spans="1:12" ht="12.75">
      <c r="A475">
        <f t="shared" si="36"/>
      </c>
      <c r="B475">
        <f t="shared" si="37"/>
      </c>
      <c r="I475" t="s">
        <v>1753</v>
      </c>
      <c r="J475" t="s">
        <v>9</v>
      </c>
      <c r="L475" t="s">
        <v>7</v>
      </c>
    </row>
    <row r="476" spans="1:12" ht="12.75">
      <c r="A476">
        <f t="shared" si="36"/>
      </c>
      <c r="B476">
        <f t="shared" si="37"/>
      </c>
      <c r="I476" t="s">
        <v>10</v>
      </c>
      <c r="J476" t="s">
        <v>11</v>
      </c>
      <c r="L476" t="s">
        <v>12</v>
      </c>
    </row>
    <row r="477" spans="1:10" ht="12.75">
      <c r="A477">
        <f t="shared" si="36"/>
      </c>
      <c r="B477">
        <f t="shared" si="37"/>
      </c>
      <c r="I477" t="s">
        <v>13</v>
      </c>
      <c r="J477" t="s">
        <v>2</v>
      </c>
    </row>
    <row r="478" spans="1:12" ht="12.75">
      <c r="A478">
        <f t="shared" si="36"/>
      </c>
      <c r="B478">
        <f t="shared" si="37"/>
      </c>
      <c r="E478" t="s">
        <v>1164</v>
      </c>
      <c r="F478" t="s">
        <v>1205</v>
      </c>
      <c r="G478" t="s">
        <v>1163</v>
      </c>
      <c r="I478" t="s">
        <v>14</v>
      </c>
      <c r="J478" t="s">
        <v>15</v>
      </c>
      <c r="K478" t="s">
        <v>1205</v>
      </c>
      <c r="L478" t="s">
        <v>15</v>
      </c>
    </row>
    <row r="479" spans="1:10" ht="12.75">
      <c r="A479" t="str">
        <f t="shared" si="36"/>
        <v>AED</v>
      </c>
      <c r="B479" t="str">
        <f t="shared" si="37"/>
        <v>DXB</v>
      </c>
      <c r="C479" t="s">
        <v>1525</v>
      </c>
      <c r="D479">
        <v>1</v>
      </c>
      <c r="E479" t="str">
        <f ca="1">VLOOKUP(E$9&amp;"RWSTAR"&amp;$D479,OFFSET($K479,0,0,MATCH(1,D482:D527,0),2),2,FALSE)</f>
        <v>10800R</v>
      </c>
      <c r="F479" t="str">
        <f ca="1">VLOOKUP(F$9&amp;"RWSTAR"&amp;$D479,OFFSET($K479,0,0,MATCH(1,D482:D527,0),2),2,FALSE)</f>
        <v>23300R</v>
      </c>
      <c r="G479" t="str">
        <f ca="1">VLOOKUP(G$9&amp;"RWSTAR"&amp;$D479,OFFSET($K479,0,0,MATCH(1,D482:D527,0),2),2,FALSE)</f>
        <v>36000R</v>
      </c>
      <c r="I479" t="s">
        <v>1351</v>
      </c>
      <c r="J479" t="s">
        <v>16</v>
      </c>
    </row>
    <row r="480" spans="1:13" ht="12.75">
      <c r="A480">
        <f t="shared" si="36"/>
      </c>
      <c r="B480">
        <f t="shared" si="37"/>
      </c>
      <c r="D480">
        <v>2</v>
      </c>
      <c r="E480" t="str">
        <f ca="1">VLOOKUP(E$9&amp;"RWSTAR"&amp;$D480,OFFSET($K480,0,0,MATCH(1,D482:D527,0),2),2,FALSE)</f>
        <v>12400R</v>
      </c>
      <c r="F480" t="str">
        <f ca="1">VLOOKUP(F$9&amp;"RWSTAR"&amp;$D480,OFFSET($K480,0,0,MATCH(1,D482:D527,0),2),2,FALSE)</f>
        <v>26800R</v>
      </c>
      <c r="G480" t="str">
        <f ca="1">VLOOKUP(G$9&amp;"RWSTAR"&amp;$D480,OFFSET($K480,0,0,MATCH(1,D482:D527,0),2),2,FALSE)</f>
        <v>41400R</v>
      </c>
      <c r="I480" t="s">
        <v>333</v>
      </c>
      <c r="J480" t="s">
        <v>1624</v>
      </c>
      <c r="K480" t="s">
        <v>1208</v>
      </c>
      <c r="L480" t="s">
        <v>337</v>
      </c>
      <c r="M480" t="s">
        <v>1367</v>
      </c>
    </row>
    <row r="481" spans="1:13" ht="12.75">
      <c r="A481">
        <f t="shared" si="36"/>
      </c>
      <c r="B481">
        <f t="shared" si="37"/>
      </c>
      <c r="D481">
        <v>3</v>
      </c>
      <c r="E481" t="str">
        <f ca="1">VLOOKUP(E$9&amp;"RWSTAR"&amp;$D481,OFFSET($K481,0,0,MATCH(1,D482:D527,0),2),2,FALSE)</f>
        <v>14500R</v>
      </c>
      <c r="F481" t="str">
        <f ca="1">VLOOKUP(F$9&amp;"RWSTAR"&amp;$D481,OFFSET($K481,0,0,MATCH(1,D482:D527,0),2),2,FALSE)</f>
        <v>31400R</v>
      </c>
      <c r="G481" t="str">
        <f ca="1">VLOOKUP(G$9&amp;"RWSTAR"&amp;$D481,OFFSET($K481,0,0,MATCH(1,D482:D527,0),2),2,FALSE)</f>
        <v>48500R</v>
      </c>
      <c r="I481" t="s">
        <v>334</v>
      </c>
      <c r="J481" t="s">
        <v>1624</v>
      </c>
      <c r="K481" t="s">
        <v>1209</v>
      </c>
      <c r="L481" t="s">
        <v>338</v>
      </c>
      <c r="M481" t="s">
        <v>1367</v>
      </c>
    </row>
    <row r="482" spans="1:13" ht="12.75">
      <c r="A482">
        <f t="shared" si="36"/>
      </c>
      <c r="B482">
        <f t="shared" si="37"/>
      </c>
      <c r="I482" t="s">
        <v>335</v>
      </c>
      <c r="J482" t="s">
        <v>1624</v>
      </c>
      <c r="K482" t="s">
        <v>1210</v>
      </c>
      <c r="L482" t="s">
        <v>339</v>
      </c>
      <c r="M482" t="s">
        <v>1367</v>
      </c>
    </row>
    <row r="483" spans="1:13" ht="12.75">
      <c r="A483">
        <f t="shared" si="36"/>
      </c>
      <c r="B483">
        <f t="shared" si="37"/>
      </c>
      <c r="E483" t="str">
        <f aca="true" t="shared" si="39" ref="E483:G485">(LEFT(E479,LEN(E479)-1))</f>
        <v>10800</v>
      </c>
      <c r="F483" t="str">
        <f t="shared" si="39"/>
        <v>23300</v>
      </c>
      <c r="G483" t="str">
        <f t="shared" si="39"/>
        <v>36000</v>
      </c>
      <c r="I483" t="s">
        <v>1690</v>
      </c>
      <c r="J483" t="s">
        <v>1624</v>
      </c>
      <c r="K483" t="s">
        <v>1211</v>
      </c>
      <c r="L483" t="s">
        <v>340</v>
      </c>
      <c r="M483" t="s">
        <v>1368</v>
      </c>
    </row>
    <row r="484" spans="1:13" ht="12.75">
      <c r="A484">
        <f t="shared" si="36"/>
      </c>
      <c r="B484">
        <f t="shared" si="37"/>
      </c>
      <c r="E484" t="str">
        <f t="shared" si="39"/>
        <v>12400</v>
      </c>
      <c r="F484" t="str">
        <f t="shared" si="39"/>
        <v>26800</v>
      </c>
      <c r="G484" t="str">
        <f t="shared" si="39"/>
        <v>41400</v>
      </c>
      <c r="I484" t="s">
        <v>1696</v>
      </c>
      <c r="J484" t="s">
        <v>1624</v>
      </c>
      <c r="K484" t="s">
        <v>1212</v>
      </c>
      <c r="L484" t="s">
        <v>341</v>
      </c>
      <c r="M484" t="s">
        <v>1368</v>
      </c>
    </row>
    <row r="485" spans="1:13" ht="12.75">
      <c r="A485">
        <f t="shared" si="36"/>
      </c>
      <c r="B485">
        <f t="shared" si="37"/>
      </c>
      <c r="E485" t="str">
        <f t="shared" si="39"/>
        <v>14500</v>
      </c>
      <c r="F485" t="str">
        <f t="shared" si="39"/>
        <v>31400</v>
      </c>
      <c r="G485" t="str">
        <f t="shared" si="39"/>
        <v>48500</v>
      </c>
      <c r="I485" t="s">
        <v>1503</v>
      </c>
      <c r="J485" t="s">
        <v>1624</v>
      </c>
      <c r="K485" t="s">
        <v>1213</v>
      </c>
      <c r="L485" t="s">
        <v>342</v>
      </c>
      <c r="M485" t="s">
        <v>1368</v>
      </c>
    </row>
    <row r="486" spans="1:13" ht="12.75">
      <c r="A486">
        <f t="shared" si="36"/>
      </c>
      <c r="B486">
        <f t="shared" si="37"/>
      </c>
      <c r="I486" t="s">
        <v>25</v>
      </c>
      <c r="J486" t="s">
        <v>1624</v>
      </c>
      <c r="K486" t="s">
        <v>1214</v>
      </c>
      <c r="L486" t="s">
        <v>610</v>
      </c>
      <c r="M486" t="s">
        <v>327</v>
      </c>
    </row>
    <row r="487" spans="1:13" ht="12.75">
      <c r="A487">
        <f t="shared" si="36"/>
      </c>
      <c r="B487">
        <f t="shared" si="37"/>
      </c>
      <c r="I487" t="s">
        <v>33</v>
      </c>
      <c r="J487" t="s">
        <v>1624</v>
      </c>
      <c r="K487" t="s">
        <v>1215</v>
      </c>
      <c r="L487" t="s">
        <v>343</v>
      </c>
      <c r="M487" t="s">
        <v>327</v>
      </c>
    </row>
    <row r="488" spans="1:13" ht="12.75">
      <c r="A488">
        <f t="shared" si="36"/>
      </c>
      <c r="B488">
        <f t="shared" si="37"/>
      </c>
      <c r="I488" t="s">
        <v>56</v>
      </c>
      <c r="J488" t="s">
        <v>1624</v>
      </c>
      <c r="K488" t="s">
        <v>1216</v>
      </c>
      <c r="L488" t="s">
        <v>344</v>
      </c>
      <c r="M488" t="s">
        <v>327</v>
      </c>
    </row>
    <row r="489" spans="1:2" ht="12.75">
      <c r="A489">
        <f t="shared" si="36"/>
      </c>
      <c r="B489">
        <f t="shared" si="37"/>
      </c>
    </row>
    <row r="490" spans="1:2" ht="12.75">
      <c r="A490">
        <f t="shared" si="36"/>
      </c>
      <c r="B490">
        <f t="shared" si="37"/>
      </c>
    </row>
    <row r="491" spans="1:10" ht="12.75">
      <c r="A491">
        <f t="shared" si="36"/>
      </c>
      <c r="B491">
        <f t="shared" si="37"/>
      </c>
      <c r="I491" t="s">
        <v>40</v>
      </c>
      <c r="J491" t="s">
        <v>219</v>
      </c>
    </row>
    <row r="492" spans="1:14" ht="12.75">
      <c r="A492">
        <f t="shared" si="36"/>
      </c>
      <c r="B492">
        <f t="shared" si="37"/>
      </c>
      <c r="I492" t="s">
        <v>41</v>
      </c>
      <c r="J492" t="s">
        <v>42</v>
      </c>
      <c r="K492" t="s">
        <v>1757</v>
      </c>
      <c r="L492" t="s">
        <v>43</v>
      </c>
      <c r="M492">
        <v>0.2723015</v>
      </c>
      <c r="N492" t="s">
        <v>1251</v>
      </c>
    </row>
    <row r="493" spans="1:13" ht="12.75">
      <c r="A493">
        <f t="shared" si="36"/>
      </c>
      <c r="B493">
        <f t="shared" si="37"/>
      </c>
      <c r="I493" t="s">
        <v>17</v>
      </c>
      <c r="J493" t="s">
        <v>7</v>
      </c>
      <c r="K493" t="s">
        <v>1214</v>
      </c>
      <c r="L493" t="s">
        <v>1754</v>
      </c>
      <c r="M493" t="s">
        <v>39</v>
      </c>
    </row>
    <row r="494" spans="1:2" ht="12.75">
      <c r="A494">
        <f t="shared" si="36"/>
      </c>
      <c r="B494">
        <f t="shared" si="37"/>
      </c>
    </row>
    <row r="495" spans="1:10" ht="12.75">
      <c r="A495">
        <f t="shared" si="36"/>
      </c>
      <c r="B495">
        <f t="shared" si="37"/>
      </c>
      <c r="I495" t="s">
        <v>40</v>
      </c>
      <c r="J495" t="s">
        <v>220</v>
      </c>
    </row>
    <row r="496" spans="1:14" ht="12.75">
      <c r="A496">
        <f t="shared" si="36"/>
      </c>
      <c r="B496">
        <f t="shared" si="37"/>
      </c>
      <c r="I496" t="s">
        <v>41</v>
      </c>
      <c r="J496" t="s">
        <v>42</v>
      </c>
      <c r="K496" t="s">
        <v>1757</v>
      </c>
      <c r="L496" t="s">
        <v>43</v>
      </c>
      <c r="M496">
        <v>0.213437</v>
      </c>
      <c r="N496" t="s">
        <v>1308</v>
      </c>
    </row>
    <row r="497" spans="1:12" ht="12.75">
      <c r="A497">
        <f t="shared" si="36"/>
      </c>
      <c r="B497">
        <f t="shared" si="37"/>
      </c>
      <c r="I497" t="s">
        <v>1758</v>
      </c>
      <c r="J497" t="s">
        <v>1759</v>
      </c>
      <c r="K497" t="s">
        <v>1428</v>
      </c>
      <c r="L497" t="s">
        <v>1760</v>
      </c>
    </row>
    <row r="498" spans="1:10" ht="12.75">
      <c r="A498">
        <f t="shared" si="36"/>
      </c>
      <c r="B498">
        <f t="shared" si="37"/>
      </c>
      <c r="I498" t="s">
        <v>1429</v>
      </c>
      <c r="J498" t="s">
        <v>7</v>
      </c>
    </row>
    <row r="499" spans="1:12" ht="12.75">
      <c r="A499">
        <f t="shared" si="36"/>
      </c>
      <c r="B499">
        <f t="shared" si="37"/>
      </c>
      <c r="I499" t="s">
        <v>1430</v>
      </c>
      <c r="J499" t="s">
        <v>9</v>
      </c>
      <c r="L499" t="s">
        <v>7</v>
      </c>
    </row>
    <row r="500" spans="1:12" ht="12.75">
      <c r="A500">
        <f t="shared" si="36"/>
      </c>
      <c r="B500">
        <f t="shared" si="37"/>
      </c>
      <c r="I500" t="s">
        <v>10</v>
      </c>
      <c r="J500" t="s">
        <v>11</v>
      </c>
      <c r="L500" t="s">
        <v>12</v>
      </c>
    </row>
    <row r="501" spans="1:10" ht="12.75">
      <c r="A501">
        <f t="shared" si="36"/>
      </c>
      <c r="B501">
        <f t="shared" si="37"/>
      </c>
      <c r="I501" t="s">
        <v>13</v>
      </c>
      <c r="J501" t="s">
        <v>2</v>
      </c>
    </row>
    <row r="502" spans="1:12" ht="12.75">
      <c r="A502">
        <f t="shared" si="36"/>
      </c>
      <c r="B502">
        <f t="shared" si="37"/>
      </c>
      <c r="E502" t="s">
        <v>1164</v>
      </c>
      <c r="F502" t="s">
        <v>1205</v>
      </c>
      <c r="G502" t="s">
        <v>1163</v>
      </c>
      <c r="I502" t="s">
        <v>14</v>
      </c>
      <c r="J502" t="s">
        <v>15</v>
      </c>
      <c r="K502" t="s">
        <v>1205</v>
      </c>
      <c r="L502" t="s">
        <v>15</v>
      </c>
    </row>
    <row r="503" spans="1:10" ht="12.75">
      <c r="A503" t="str">
        <f t="shared" si="36"/>
        <v>SGD</v>
      </c>
      <c r="B503" t="str">
        <f t="shared" si="37"/>
        <v>SIN</v>
      </c>
      <c r="C503" t="s">
        <v>1401</v>
      </c>
      <c r="D503">
        <v>1</v>
      </c>
      <c r="E503" t="str">
        <f ca="1">VLOOKUP(E$9&amp;"RWSTAR"&amp;$D503,OFFSET($K503,0,0,MATCH(1,D506:D551,0),2),2,FALSE)</f>
        <v>5000R</v>
      </c>
      <c r="F503" t="str">
        <f ca="1">VLOOKUP(F$9&amp;"RWSTAR"&amp;$D503,OFFSET($K503,0,0,MATCH(1,D506:D551,0),2),2,FALSE)</f>
        <v>10500R</v>
      </c>
      <c r="G503" t="str">
        <f ca="1">VLOOKUP(G$9&amp;"RWSTAR"&amp;$D503,OFFSET($K503,0,0,MATCH(1,D506:D551,0),2),2,FALSE)</f>
        <v>15600R</v>
      </c>
      <c r="I503" t="s">
        <v>1277</v>
      </c>
      <c r="J503" t="s">
        <v>16</v>
      </c>
    </row>
    <row r="504" spans="1:15" ht="12.75">
      <c r="A504">
        <f t="shared" si="36"/>
      </c>
      <c r="B504">
        <f t="shared" si="37"/>
      </c>
      <c r="D504">
        <v>2</v>
      </c>
      <c r="E504" t="str">
        <f ca="1">VLOOKUP(E$9&amp;"RWSTAR"&amp;$D504,OFFSET($K504,0,0,MATCH(1,D506:D551,0),2),2,FALSE)</f>
        <v>5800R</v>
      </c>
      <c r="F504" t="str">
        <f ca="1">VLOOKUP(F$9&amp;"RWSTAR"&amp;$D504,OFFSET($K504,0,0,MATCH(1,D506:D551,0),2),2,FALSE)</f>
        <v>12100R</v>
      </c>
      <c r="G504" t="str">
        <f ca="1">VLOOKUP(G$9&amp;"RWSTAR"&amp;$D504,OFFSET($K504,0,0,MATCH(1,D506:D551,0),2),2,FALSE)</f>
        <v>18000R</v>
      </c>
      <c r="I504" t="s">
        <v>17</v>
      </c>
      <c r="J504" t="s">
        <v>7</v>
      </c>
      <c r="K504" t="s">
        <v>88</v>
      </c>
      <c r="L504" t="s">
        <v>1431</v>
      </c>
      <c r="O504" t="s">
        <v>1431</v>
      </c>
    </row>
    <row r="505" spans="1:15" ht="12.75">
      <c r="A505">
        <f t="shared" si="36"/>
      </c>
      <c r="B505">
        <f t="shared" si="37"/>
      </c>
      <c r="D505">
        <v>3</v>
      </c>
      <c r="E505" t="str">
        <f ca="1">VLOOKUP(E$9&amp;"RWSTAR"&amp;$D505,OFFSET($K505,0,0,MATCH(1,D506:D551,0),2),2,FALSE)</f>
        <v>6700R</v>
      </c>
      <c r="F505" t="str">
        <f ca="1">VLOOKUP(F$9&amp;"RWSTAR"&amp;$D505,OFFSET($K505,0,0,MATCH(1,D506:D551,0),2),2,FALSE)</f>
        <v>14300R</v>
      </c>
      <c r="G505" t="str">
        <f ca="1">VLOOKUP(G$9&amp;"RWSTAR"&amp;$D505,OFFSET($K505,0,0,MATCH(1,D506:D551,0),2),2,FALSE)</f>
        <v>21100R</v>
      </c>
      <c r="I505" t="s">
        <v>21</v>
      </c>
      <c r="J505" t="s">
        <v>7</v>
      </c>
      <c r="K505" t="s">
        <v>90</v>
      </c>
      <c r="L505" t="s">
        <v>1432</v>
      </c>
      <c r="O505" t="s">
        <v>1432</v>
      </c>
    </row>
    <row r="506" spans="1:15" ht="12.75">
      <c r="A506">
        <f t="shared" si="36"/>
      </c>
      <c r="B506">
        <f t="shared" si="37"/>
      </c>
      <c r="I506" t="s">
        <v>23</v>
      </c>
      <c r="J506" t="s">
        <v>7</v>
      </c>
      <c r="K506" t="s">
        <v>19</v>
      </c>
      <c r="L506" t="s">
        <v>1433</v>
      </c>
      <c r="O506" t="s">
        <v>1433</v>
      </c>
    </row>
    <row r="507" spans="1:15" ht="12.75">
      <c r="A507">
        <f t="shared" si="36"/>
      </c>
      <c r="B507">
        <f t="shared" si="37"/>
      </c>
      <c r="E507" t="str">
        <f aca="true" t="shared" si="40" ref="E507:G509">(LEFT(E503,LEN(E503)-1))</f>
        <v>5000</v>
      </c>
      <c r="F507" t="str">
        <f t="shared" si="40"/>
        <v>10500</v>
      </c>
      <c r="G507" t="str">
        <f t="shared" si="40"/>
        <v>15600</v>
      </c>
      <c r="I507" t="s">
        <v>25</v>
      </c>
      <c r="J507" t="s">
        <v>7</v>
      </c>
      <c r="K507" t="s">
        <v>1214</v>
      </c>
      <c r="L507" t="s">
        <v>1085</v>
      </c>
      <c r="O507" t="s">
        <v>1434</v>
      </c>
    </row>
    <row r="508" spans="1:15" ht="12.75">
      <c r="A508">
        <f t="shared" si="36"/>
      </c>
      <c r="B508">
        <f t="shared" si="37"/>
      </c>
      <c r="E508" t="str">
        <f t="shared" si="40"/>
        <v>5800</v>
      </c>
      <c r="F508" t="str">
        <f t="shared" si="40"/>
        <v>12100</v>
      </c>
      <c r="G508" t="str">
        <f t="shared" si="40"/>
        <v>18000</v>
      </c>
      <c r="I508" t="s">
        <v>27</v>
      </c>
      <c r="J508" t="s">
        <v>7</v>
      </c>
      <c r="K508" t="s">
        <v>95</v>
      </c>
      <c r="L508" t="s">
        <v>1435</v>
      </c>
      <c r="O508" t="s">
        <v>1435</v>
      </c>
    </row>
    <row r="509" spans="1:15" ht="12.75">
      <c r="A509">
        <f t="shared" si="36"/>
      </c>
      <c r="B509">
        <f t="shared" si="37"/>
      </c>
      <c r="E509" t="str">
        <f t="shared" si="40"/>
        <v>6700</v>
      </c>
      <c r="F509" t="str">
        <f t="shared" si="40"/>
        <v>14300</v>
      </c>
      <c r="G509" t="str">
        <f t="shared" si="40"/>
        <v>21100</v>
      </c>
      <c r="I509" t="s">
        <v>29</v>
      </c>
      <c r="J509" t="s">
        <v>7</v>
      </c>
      <c r="K509" t="s">
        <v>1215</v>
      </c>
      <c r="L509" t="s">
        <v>1145</v>
      </c>
      <c r="O509" t="s">
        <v>1436</v>
      </c>
    </row>
    <row r="510" spans="1:15" ht="12.75">
      <c r="A510">
        <f t="shared" si="36"/>
      </c>
      <c r="B510">
        <f t="shared" si="37"/>
      </c>
      <c r="I510" t="s">
        <v>31</v>
      </c>
      <c r="J510" t="s">
        <v>7</v>
      </c>
      <c r="K510" t="s">
        <v>98</v>
      </c>
      <c r="L510" t="s">
        <v>1437</v>
      </c>
      <c r="O510" t="s">
        <v>1437</v>
      </c>
    </row>
    <row r="511" spans="1:15" ht="12.75">
      <c r="A511">
        <f t="shared" si="36"/>
      </c>
      <c r="B511">
        <f t="shared" si="37"/>
      </c>
      <c r="I511" t="s">
        <v>33</v>
      </c>
      <c r="J511" t="s">
        <v>7</v>
      </c>
      <c r="K511" t="s">
        <v>1216</v>
      </c>
      <c r="L511" t="s">
        <v>1146</v>
      </c>
      <c r="O511" t="s">
        <v>1438</v>
      </c>
    </row>
    <row r="512" spans="1:15" ht="12.75">
      <c r="A512">
        <f t="shared" si="36"/>
      </c>
      <c r="B512">
        <f t="shared" si="37"/>
      </c>
      <c r="I512" t="s">
        <v>35</v>
      </c>
      <c r="J512" t="s">
        <v>7</v>
      </c>
      <c r="K512" t="s">
        <v>100</v>
      </c>
      <c r="L512" t="s">
        <v>1439</v>
      </c>
      <c r="O512" t="s">
        <v>1439</v>
      </c>
    </row>
    <row r="513" spans="1:15" ht="12.75">
      <c r="A513">
        <f t="shared" si="36"/>
      </c>
      <c r="B513">
        <f t="shared" si="37"/>
      </c>
      <c r="I513" t="s">
        <v>37</v>
      </c>
      <c r="J513" t="s">
        <v>7</v>
      </c>
      <c r="K513" t="s">
        <v>103</v>
      </c>
      <c r="L513" t="s">
        <v>1440</v>
      </c>
      <c r="O513" t="s">
        <v>1440</v>
      </c>
    </row>
    <row r="514" spans="1:15" ht="12.75">
      <c r="A514">
        <f t="shared" si="36"/>
      </c>
      <c r="B514">
        <f t="shared" si="37"/>
      </c>
      <c r="I514" t="s">
        <v>56</v>
      </c>
      <c r="J514" t="s">
        <v>7</v>
      </c>
      <c r="K514" t="s">
        <v>1211</v>
      </c>
      <c r="L514" t="s">
        <v>1090</v>
      </c>
      <c r="O514" t="s">
        <v>1441</v>
      </c>
    </row>
    <row r="515" spans="1:15" ht="12.75">
      <c r="A515">
        <f t="shared" si="36"/>
      </c>
      <c r="B515">
        <f t="shared" si="37"/>
      </c>
      <c r="I515" t="s">
        <v>58</v>
      </c>
      <c r="J515" t="s">
        <v>7</v>
      </c>
      <c r="K515" t="s">
        <v>1212</v>
      </c>
      <c r="L515" t="s">
        <v>182</v>
      </c>
      <c r="O515" t="s">
        <v>1442</v>
      </c>
    </row>
    <row r="516" spans="1:15" ht="12.75">
      <c r="A516">
        <f t="shared" si="36"/>
      </c>
      <c r="B516">
        <f t="shared" si="37"/>
      </c>
      <c r="I516" t="s">
        <v>59</v>
      </c>
      <c r="J516" t="s">
        <v>7</v>
      </c>
      <c r="K516" t="s">
        <v>1213</v>
      </c>
      <c r="L516" t="s">
        <v>1147</v>
      </c>
      <c r="O516" t="s">
        <v>1443</v>
      </c>
    </row>
    <row r="517" spans="1:15" ht="12.75">
      <c r="A517">
        <f t="shared" si="36"/>
      </c>
      <c r="B517">
        <f t="shared" si="37"/>
      </c>
      <c r="I517" t="s">
        <v>60</v>
      </c>
      <c r="J517" t="s">
        <v>7</v>
      </c>
      <c r="K517" t="s">
        <v>1208</v>
      </c>
      <c r="L517" t="s">
        <v>1148</v>
      </c>
      <c r="O517" t="s">
        <v>1444</v>
      </c>
    </row>
    <row r="518" spans="1:15" ht="12.75">
      <c r="A518">
        <f t="shared" si="36"/>
      </c>
      <c r="B518">
        <f t="shared" si="37"/>
      </c>
      <c r="I518" t="s">
        <v>61</v>
      </c>
      <c r="J518" t="s">
        <v>7</v>
      </c>
      <c r="K518" t="s">
        <v>1209</v>
      </c>
      <c r="L518" t="s">
        <v>1446</v>
      </c>
      <c r="O518" t="s">
        <v>1445</v>
      </c>
    </row>
    <row r="519" spans="1:15" ht="12.75">
      <c r="A519">
        <f t="shared" si="36"/>
      </c>
      <c r="B519">
        <f t="shared" si="37"/>
      </c>
      <c r="I519" t="s">
        <v>62</v>
      </c>
      <c r="J519" t="s">
        <v>7</v>
      </c>
      <c r="K519" t="s">
        <v>1210</v>
      </c>
      <c r="L519" t="s">
        <v>1149</v>
      </c>
      <c r="O519" t="s">
        <v>1446</v>
      </c>
    </row>
    <row r="520" spans="1:2" ht="12.75">
      <c r="A520">
        <f t="shared" si="36"/>
      </c>
      <c r="B520">
        <f t="shared" si="37"/>
      </c>
    </row>
    <row r="521" spans="1:13" ht="12.75">
      <c r="A521">
        <f aca="true" t="shared" si="41" ref="A521:A584">IF(J521="BASIS",I521,"")</f>
      </c>
      <c r="B521">
        <f aca="true" t="shared" si="42" ref="B521:B584">IF(A521&lt;&gt;"",LEFT(I517,3),"")</f>
      </c>
      <c r="I521" t="s">
        <v>25</v>
      </c>
      <c r="J521" t="s">
        <v>7</v>
      </c>
      <c r="K521" t="s">
        <v>1214</v>
      </c>
      <c r="L521" t="s">
        <v>1434</v>
      </c>
      <c r="M521" t="s">
        <v>39</v>
      </c>
    </row>
    <row r="522" spans="1:10" ht="12.75">
      <c r="A522">
        <f t="shared" si="41"/>
      </c>
      <c r="B522">
        <f t="shared" si="42"/>
      </c>
      <c r="I522" t="s">
        <v>40</v>
      </c>
      <c r="J522" t="s">
        <v>221</v>
      </c>
    </row>
    <row r="523" spans="1:14" ht="12.75">
      <c r="A523">
        <f t="shared" si="41"/>
      </c>
      <c r="B523">
        <f t="shared" si="42"/>
      </c>
      <c r="I523" t="s">
        <v>41</v>
      </c>
      <c r="J523" t="s">
        <v>42</v>
      </c>
      <c r="K523" t="s">
        <v>1447</v>
      </c>
      <c r="L523" t="s">
        <v>43</v>
      </c>
      <c r="M523">
        <v>0.6090876</v>
      </c>
      <c r="N523" t="s">
        <v>1251</v>
      </c>
    </row>
    <row r="524" spans="1:10" ht="12.75">
      <c r="A524">
        <f t="shared" si="41"/>
      </c>
      <c r="B524">
        <f t="shared" si="42"/>
      </c>
      <c r="I524" t="s">
        <v>1448</v>
      </c>
      <c r="J524" t="s">
        <v>7</v>
      </c>
    </row>
    <row r="525" spans="1:12" ht="12.75">
      <c r="A525">
        <f t="shared" si="41"/>
      </c>
      <c r="B525">
        <f t="shared" si="42"/>
      </c>
      <c r="I525" t="s">
        <v>1449</v>
      </c>
      <c r="J525" t="s">
        <v>9</v>
      </c>
      <c r="L525" t="s">
        <v>7</v>
      </c>
    </row>
    <row r="526" spans="1:12" ht="12.75">
      <c r="A526">
        <f t="shared" si="41"/>
      </c>
      <c r="B526">
        <f t="shared" si="42"/>
      </c>
      <c r="I526" t="s">
        <v>10</v>
      </c>
      <c r="J526" t="s">
        <v>11</v>
      </c>
      <c r="L526" t="s">
        <v>12</v>
      </c>
    </row>
    <row r="527" spans="1:10" ht="12.75">
      <c r="A527">
        <f t="shared" si="41"/>
      </c>
      <c r="B527">
        <f t="shared" si="42"/>
      </c>
      <c r="I527" t="s">
        <v>13</v>
      </c>
      <c r="J527" t="s">
        <v>2</v>
      </c>
    </row>
    <row r="528" spans="1:12" ht="12.75">
      <c r="A528">
        <f t="shared" si="41"/>
      </c>
      <c r="B528">
        <f t="shared" si="42"/>
      </c>
      <c r="E528" t="s">
        <v>1164</v>
      </c>
      <c r="F528" t="s">
        <v>1205</v>
      </c>
      <c r="G528" t="s">
        <v>1163</v>
      </c>
      <c r="I528" t="s">
        <v>14</v>
      </c>
      <c r="J528" t="s">
        <v>15</v>
      </c>
      <c r="K528" t="s">
        <v>1205</v>
      </c>
      <c r="L528" t="s">
        <v>15</v>
      </c>
    </row>
    <row r="529" spans="1:10" ht="12.75">
      <c r="A529" t="str">
        <f t="shared" si="41"/>
        <v>EUR</v>
      </c>
      <c r="B529" t="str">
        <f t="shared" si="42"/>
        <v>AMS</v>
      </c>
      <c r="C529" t="s">
        <v>1201</v>
      </c>
      <c r="D529">
        <v>1</v>
      </c>
      <c r="E529" t="str">
        <f ca="1">VLOOKUP(E$9&amp;"RWSTAR"&amp;$D529,OFFSET($K529,0,0,MATCH(1,D532:D577,0),2),2,FALSE)</f>
        <v>2399R</v>
      </c>
      <c r="F529" t="str">
        <f ca="1">VLOOKUP(F$9&amp;"RWSTAR"&amp;$D529,OFFSET($K529,0,0,MATCH(1,D532:D577,0),2),2,FALSE)</f>
        <v>5399R</v>
      </c>
      <c r="G529" t="str">
        <f ca="1">VLOOKUP(G$9&amp;"RWSTAR"&amp;$D529,OFFSET($K529,0,0,MATCH(1,D532:D577,0),2),2,FALSE)</f>
        <v>8449R</v>
      </c>
      <c r="I529" t="s">
        <v>1308</v>
      </c>
      <c r="J529" t="s">
        <v>16</v>
      </c>
    </row>
    <row r="530" spans="1:14" ht="12.75">
      <c r="A530">
        <f t="shared" si="41"/>
      </c>
      <c r="B530">
        <f t="shared" si="42"/>
      </c>
      <c r="D530">
        <v>2</v>
      </c>
      <c r="E530" t="str">
        <f ca="1">VLOOKUP(E$9&amp;"RWSTAR"&amp;$D530,OFFSET($K530,0,0,MATCH(1,D532:D577,0),2),2,FALSE)</f>
        <v>2899R</v>
      </c>
      <c r="F530" t="str">
        <f ca="1">VLOOKUP(F$9&amp;"RWSTAR"&amp;$D530,OFFSET($K530,0,0,MATCH(1,D532:D577,0),2),2,FALSE)</f>
        <v>6249R</v>
      </c>
      <c r="G530" t="str">
        <f ca="1">VLOOKUP(G$9&amp;"RWSTAR"&amp;$D530,OFFSET($K530,0,0,MATCH(1,D532:D577,0),2),2,FALSE)</f>
        <v>9699R</v>
      </c>
      <c r="I530" t="s">
        <v>17</v>
      </c>
      <c r="J530" t="s">
        <v>7</v>
      </c>
      <c r="K530" t="s">
        <v>19</v>
      </c>
      <c r="L530" t="s">
        <v>436</v>
      </c>
      <c r="N530" t="s">
        <v>436</v>
      </c>
    </row>
    <row r="531" spans="1:14" ht="12.75">
      <c r="A531">
        <f t="shared" si="41"/>
      </c>
      <c r="B531">
        <f t="shared" si="42"/>
      </c>
      <c r="D531">
        <v>3</v>
      </c>
      <c r="E531" t="str">
        <f ca="1">VLOOKUP(E$9&amp;"RWSTAR"&amp;$D531,OFFSET($K531,0,0,MATCH(1,D532:D577,0),2),2,FALSE)</f>
        <v>3399R</v>
      </c>
      <c r="F531" t="str">
        <f ca="1">VLOOKUP(F$9&amp;"RWSTAR"&amp;$D531,OFFSET($K531,0,0,MATCH(1,D532:D577,0),2),2,FALSE)</f>
        <v>7349R</v>
      </c>
      <c r="G531" t="str">
        <f ca="1">VLOOKUP(G$9&amp;"RWSTAR"&amp;$D531,OFFSET($K531,0,0,MATCH(1,D532:D577,0),2),2,FALSE)</f>
        <v>11449R</v>
      </c>
      <c r="I531" t="s">
        <v>21</v>
      </c>
      <c r="J531" t="s">
        <v>7</v>
      </c>
      <c r="K531" t="s">
        <v>1214</v>
      </c>
      <c r="L531" t="s">
        <v>437</v>
      </c>
      <c r="N531" t="s">
        <v>437</v>
      </c>
    </row>
    <row r="532" spans="1:14" ht="12.75">
      <c r="A532">
        <f t="shared" si="41"/>
      </c>
      <c r="B532">
        <f t="shared" si="42"/>
      </c>
      <c r="I532" t="s">
        <v>23</v>
      </c>
      <c r="J532" t="s">
        <v>7</v>
      </c>
      <c r="K532" t="s">
        <v>1215</v>
      </c>
      <c r="L532" t="s">
        <v>414</v>
      </c>
      <c r="N532" t="s">
        <v>399</v>
      </c>
    </row>
    <row r="533" spans="1:14" ht="12.75">
      <c r="A533">
        <f t="shared" si="41"/>
      </c>
      <c r="B533">
        <f t="shared" si="42"/>
      </c>
      <c r="E533" t="str">
        <f aca="true" t="shared" si="43" ref="E533:G535">(LEFT(E529,LEN(E529)-1))</f>
        <v>2399</v>
      </c>
      <c r="F533" t="str">
        <f t="shared" si="43"/>
        <v>5399</v>
      </c>
      <c r="G533" t="str">
        <f t="shared" si="43"/>
        <v>8449</v>
      </c>
      <c r="I533" t="s">
        <v>25</v>
      </c>
      <c r="J533" t="s">
        <v>7</v>
      </c>
      <c r="K533" t="s">
        <v>1216</v>
      </c>
      <c r="L533" t="s">
        <v>512</v>
      </c>
      <c r="N533" t="s">
        <v>438</v>
      </c>
    </row>
    <row r="534" spans="1:14" ht="12.75">
      <c r="A534">
        <f t="shared" si="41"/>
      </c>
      <c r="B534">
        <f t="shared" si="42"/>
      </c>
      <c r="E534" t="str">
        <f t="shared" si="43"/>
        <v>2899</v>
      </c>
      <c r="F534" t="str">
        <f t="shared" si="43"/>
        <v>6249</v>
      </c>
      <c r="G534" t="str">
        <f t="shared" si="43"/>
        <v>9699</v>
      </c>
      <c r="I534" t="s">
        <v>27</v>
      </c>
      <c r="J534" t="s">
        <v>7</v>
      </c>
      <c r="K534" t="s">
        <v>1211</v>
      </c>
      <c r="L534" t="s">
        <v>348</v>
      </c>
      <c r="N534" t="s">
        <v>439</v>
      </c>
    </row>
    <row r="535" spans="1:14" ht="12.75">
      <c r="A535">
        <f t="shared" si="41"/>
      </c>
      <c r="B535">
        <f t="shared" si="42"/>
      </c>
      <c r="E535" t="str">
        <f t="shared" si="43"/>
        <v>3399</v>
      </c>
      <c r="F535" t="str">
        <f t="shared" si="43"/>
        <v>7349</v>
      </c>
      <c r="G535" t="str">
        <f t="shared" si="43"/>
        <v>11449</v>
      </c>
      <c r="I535" t="s">
        <v>29</v>
      </c>
      <c r="J535" t="s">
        <v>7</v>
      </c>
      <c r="K535" t="s">
        <v>1212</v>
      </c>
      <c r="L535" t="s">
        <v>349</v>
      </c>
      <c r="N535" t="s">
        <v>440</v>
      </c>
    </row>
    <row r="536" spans="1:14" ht="12.75">
      <c r="A536">
        <f t="shared" si="41"/>
      </c>
      <c r="B536">
        <f t="shared" si="42"/>
      </c>
      <c r="I536" t="s">
        <v>31</v>
      </c>
      <c r="J536" t="s">
        <v>7</v>
      </c>
      <c r="K536" t="s">
        <v>1213</v>
      </c>
      <c r="L536" t="s">
        <v>433</v>
      </c>
      <c r="N536" t="s">
        <v>441</v>
      </c>
    </row>
    <row r="537" spans="1:14" ht="12.75">
      <c r="A537">
        <f t="shared" si="41"/>
      </c>
      <c r="B537">
        <f t="shared" si="42"/>
      </c>
      <c r="I537" t="s">
        <v>33</v>
      </c>
      <c r="J537" t="s">
        <v>7</v>
      </c>
      <c r="K537" t="s">
        <v>1208</v>
      </c>
      <c r="L537" t="s">
        <v>434</v>
      </c>
      <c r="N537" t="s">
        <v>442</v>
      </c>
    </row>
    <row r="538" spans="1:14" ht="12.75">
      <c r="A538">
        <f t="shared" si="41"/>
      </c>
      <c r="B538">
        <f t="shared" si="42"/>
      </c>
      <c r="I538" t="s">
        <v>35</v>
      </c>
      <c r="J538" t="s">
        <v>7</v>
      </c>
      <c r="K538" t="s">
        <v>1209</v>
      </c>
      <c r="L538" t="s">
        <v>350</v>
      </c>
      <c r="N538" t="s">
        <v>443</v>
      </c>
    </row>
    <row r="539" spans="1:14" ht="12.75">
      <c r="A539">
        <f t="shared" si="41"/>
      </c>
      <c r="B539">
        <f t="shared" si="42"/>
      </c>
      <c r="I539" t="s">
        <v>37</v>
      </c>
      <c r="J539" t="s">
        <v>7</v>
      </c>
      <c r="K539" t="s">
        <v>1210</v>
      </c>
      <c r="L539" t="s">
        <v>351</v>
      </c>
      <c r="N539" t="s">
        <v>444</v>
      </c>
    </row>
    <row r="540" spans="1:2" ht="12.75">
      <c r="A540">
        <f t="shared" si="41"/>
      </c>
      <c r="B540">
        <f t="shared" si="42"/>
      </c>
    </row>
    <row r="541" spans="1:13" ht="12.75">
      <c r="A541">
        <f t="shared" si="41"/>
      </c>
      <c r="B541">
        <f t="shared" si="42"/>
      </c>
      <c r="I541" t="s">
        <v>21</v>
      </c>
      <c r="J541" t="s">
        <v>7</v>
      </c>
      <c r="K541" t="s">
        <v>1214</v>
      </c>
      <c r="L541" t="s">
        <v>437</v>
      </c>
      <c r="M541" t="s">
        <v>39</v>
      </c>
    </row>
    <row r="542" spans="1:2" ht="12.75">
      <c r="A542">
        <f t="shared" si="41"/>
      </c>
      <c r="B542">
        <f t="shared" si="42"/>
      </c>
    </row>
    <row r="543" spans="1:10" ht="12.75">
      <c r="A543">
        <f t="shared" si="41"/>
      </c>
      <c r="B543">
        <f t="shared" si="42"/>
      </c>
      <c r="I543" t="s">
        <v>40</v>
      </c>
      <c r="J543" t="s">
        <v>222</v>
      </c>
    </row>
    <row r="544" spans="1:14" ht="12.75">
      <c r="A544">
        <f t="shared" si="41"/>
      </c>
      <c r="B544">
        <f t="shared" si="42"/>
      </c>
      <c r="I544" t="s">
        <v>41</v>
      </c>
      <c r="J544" t="s">
        <v>42</v>
      </c>
      <c r="K544" t="s">
        <v>1450</v>
      </c>
      <c r="L544" t="s">
        <v>43</v>
      </c>
      <c r="M544">
        <v>1.2764871</v>
      </c>
      <c r="N544" t="s">
        <v>1251</v>
      </c>
    </row>
    <row r="545" spans="1:10" ht="12.75">
      <c r="A545">
        <f t="shared" si="41"/>
      </c>
      <c r="B545">
        <f t="shared" si="42"/>
      </c>
      <c r="I545" t="s">
        <v>1451</v>
      </c>
      <c r="J545" t="s">
        <v>7</v>
      </c>
    </row>
    <row r="546" spans="1:12" ht="12.75">
      <c r="A546">
        <f t="shared" si="41"/>
      </c>
      <c r="B546">
        <f t="shared" si="42"/>
      </c>
      <c r="I546" t="s">
        <v>1452</v>
      </c>
      <c r="J546" t="s">
        <v>9</v>
      </c>
      <c r="L546" t="s">
        <v>7</v>
      </c>
    </row>
    <row r="547" spans="1:12" ht="12.75">
      <c r="A547">
        <f t="shared" si="41"/>
      </c>
      <c r="B547">
        <f t="shared" si="42"/>
      </c>
      <c r="I547" t="s">
        <v>10</v>
      </c>
      <c r="J547" t="s">
        <v>11</v>
      </c>
      <c r="L547" t="s">
        <v>12</v>
      </c>
    </row>
    <row r="548" spans="1:10" ht="12.75">
      <c r="A548">
        <f t="shared" si="41"/>
      </c>
      <c r="B548">
        <f t="shared" si="42"/>
      </c>
      <c r="I548" t="s">
        <v>13</v>
      </c>
      <c r="J548" t="s">
        <v>2</v>
      </c>
    </row>
    <row r="549" spans="1:12" ht="12.75">
      <c r="A549">
        <f t="shared" si="41"/>
      </c>
      <c r="B549">
        <f t="shared" si="42"/>
      </c>
      <c r="E549" t="s">
        <v>1164</v>
      </c>
      <c r="F549" t="s">
        <v>1205</v>
      </c>
      <c r="G549" t="s">
        <v>1163</v>
      </c>
      <c r="I549" t="s">
        <v>14</v>
      </c>
      <c r="J549" t="s">
        <v>15</v>
      </c>
      <c r="K549" t="s">
        <v>1205</v>
      </c>
      <c r="L549" t="s">
        <v>15</v>
      </c>
    </row>
    <row r="550" spans="1:10" ht="12.75">
      <c r="A550" t="str">
        <f t="shared" si="41"/>
        <v>JPY</v>
      </c>
      <c r="B550" t="str">
        <f t="shared" si="42"/>
        <v>TYO</v>
      </c>
      <c r="C550" t="s">
        <v>1396</v>
      </c>
      <c r="D550">
        <v>1</v>
      </c>
      <c r="E550" t="str">
        <f ca="1">VLOOKUP(E$9&amp;"RWSTAR"&amp;$D550,OFFSET($K550,0,0,MATCH(1,D553:D598,0),2),2,FALSE)</f>
        <v>335000R</v>
      </c>
      <c r="F550" t="str">
        <f ca="1">VLOOKUP(F$9&amp;"RWSTAR"&amp;$D550,OFFSET($K550,0,0,MATCH(1,D553:D598,0),2),2,FALSE)</f>
        <v>625000R</v>
      </c>
      <c r="G550" t="str">
        <f ca="1">VLOOKUP(G$9&amp;"RWSTAR"&amp;$D550,OFFSET($K550,0,0,MATCH(1,D553:D598,0),2),2,FALSE)</f>
        <v>910000R</v>
      </c>
      <c r="I550" t="s">
        <v>1273</v>
      </c>
      <c r="J550" t="s">
        <v>16</v>
      </c>
    </row>
    <row r="551" spans="1:12" ht="12.75">
      <c r="A551">
        <f t="shared" si="41"/>
      </c>
      <c r="B551">
        <f t="shared" si="42"/>
      </c>
      <c r="D551">
        <v>2</v>
      </c>
      <c r="E551" t="str">
        <f ca="1">VLOOKUP(E$9&amp;"RWSTAR"&amp;$D551,OFFSET($K551,0,0,MATCH(1,D553:D598,0),2),2,FALSE)</f>
        <v>385000R</v>
      </c>
      <c r="F551" t="str">
        <f ca="1">VLOOKUP(F$9&amp;"RWSTAR"&amp;$D551,OFFSET($K551,0,0,MATCH(1,D553:D598,0),2),2,FALSE)</f>
        <v>719000R</v>
      </c>
      <c r="G551" t="str">
        <f ca="1">VLOOKUP(G$9&amp;"RWSTAR"&amp;$D551,OFFSET($K551,0,0,MATCH(1,D553:D598,0),2),2,FALSE)</f>
        <v>1047000R</v>
      </c>
      <c r="I551" t="s">
        <v>17</v>
      </c>
      <c r="J551" t="s">
        <v>7</v>
      </c>
      <c r="K551" t="s">
        <v>88</v>
      </c>
      <c r="L551" t="s">
        <v>1453</v>
      </c>
    </row>
    <row r="552" spans="1:12" ht="12.75">
      <c r="A552">
        <f t="shared" si="41"/>
      </c>
      <c r="B552">
        <f t="shared" si="42"/>
      </c>
      <c r="D552">
        <v>3</v>
      </c>
      <c r="E552" t="str">
        <f ca="1">VLOOKUP(E$9&amp;"RWSTAR"&amp;$D552,OFFSET($K552,0,0,MATCH(1,D553:D598,0),2),2,FALSE)</f>
        <v>452000R</v>
      </c>
      <c r="F552" t="str">
        <f ca="1">VLOOKUP(F$9&amp;"RWSTAR"&amp;$D552,OFFSET($K552,0,0,MATCH(1,D553:D598,0),2),2,FALSE)</f>
        <v>844000R</v>
      </c>
      <c r="G552" t="str">
        <f ca="1">VLOOKUP(G$9&amp;"RWSTAR"&amp;$D552,OFFSET($K552,0,0,MATCH(1,D553:D598,0),2),2,FALSE)</f>
        <v>1229000R</v>
      </c>
      <c r="I552" t="s">
        <v>21</v>
      </c>
      <c r="J552" t="s">
        <v>7</v>
      </c>
      <c r="K552" t="s">
        <v>90</v>
      </c>
      <c r="L552" t="s">
        <v>1454</v>
      </c>
    </row>
    <row r="553" spans="1:12" ht="12.75">
      <c r="A553">
        <f t="shared" si="41"/>
      </c>
      <c r="B553">
        <f t="shared" si="42"/>
      </c>
      <c r="I553" t="s">
        <v>23</v>
      </c>
      <c r="J553" t="s">
        <v>7</v>
      </c>
      <c r="K553" t="s">
        <v>1214</v>
      </c>
      <c r="L553" t="s">
        <v>1455</v>
      </c>
    </row>
    <row r="554" spans="1:12" ht="12.75">
      <c r="A554">
        <f t="shared" si="41"/>
      </c>
      <c r="B554">
        <f t="shared" si="42"/>
      </c>
      <c r="E554" t="str">
        <f aca="true" t="shared" si="44" ref="E554:G556">(LEFT(E550,LEN(E550)-1))</f>
        <v>335000</v>
      </c>
      <c r="F554" t="str">
        <f t="shared" si="44"/>
        <v>625000</v>
      </c>
      <c r="G554" t="str">
        <f t="shared" si="44"/>
        <v>910000</v>
      </c>
      <c r="I554" t="s">
        <v>25</v>
      </c>
      <c r="J554" t="s">
        <v>7</v>
      </c>
      <c r="K554" t="s">
        <v>1215</v>
      </c>
      <c r="L554" t="s">
        <v>1456</v>
      </c>
    </row>
    <row r="555" spans="1:12" ht="12.75">
      <c r="A555">
        <f t="shared" si="41"/>
      </c>
      <c r="B555">
        <f t="shared" si="42"/>
      </c>
      <c r="E555" t="str">
        <f t="shared" si="44"/>
        <v>385000</v>
      </c>
      <c r="F555" t="str">
        <f t="shared" si="44"/>
        <v>719000</v>
      </c>
      <c r="G555" t="str">
        <f t="shared" si="44"/>
        <v>1047000</v>
      </c>
      <c r="I555" t="s">
        <v>27</v>
      </c>
      <c r="J555" t="s">
        <v>7</v>
      </c>
      <c r="K555" t="s">
        <v>95</v>
      </c>
      <c r="L555" t="s">
        <v>1472</v>
      </c>
    </row>
    <row r="556" spans="1:12" ht="12.75">
      <c r="A556">
        <f t="shared" si="41"/>
      </c>
      <c r="B556">
        <f t="shared" si="42"/>
      </c>
      <c r="E556" t="str">
        <f t="shared" si="44"/>
        <v>452000</v>
      </c>
      <c r="F556" t="str">
        <f t="shared" si="44"/>
        <v>844000</v>
      </c>
      <c r="G556" t="str">
        <f t="shared" si="44"/>
        <v>1229000</v>
      </c>
      <c r="I556" t="s">
        <v>29</v>
      </c>
      <c r="J556" t="s">
        <v>7</v>
      </c>
      <c r="K556" t="s">
        <v>1216</v>
      </c>
      <c r="L556" t="s">
        <v>1473</v>
      </c>
    </row>
    <row r="557" spans="1:12" ht="12.75">
      <c r="A557">
        <f t="shared" si="41"/>
      </c>
      <c r="B557">
        <f t="shared" si="42"/>
      </c>
      <c r="I557" t="s">
        <v>31</v>
      </c>
      <c r="J557" t="s">
        <v>7</v>
      </c>
      <c r="K557" t="s">
        <v>98</v>
      </c>
      <c r="L557" t="s">
        <v>1474</v>
      </c>
    </row>
    <row r="558" spans="1:12" ht="12.75">
      <c r="A558">
        <f t="shared" si="41"/>
      </c>
      <c r="B558">
        <f t="shared" si="42"/>
      </c>
      <c r="I558" t="s">
        <v>33</v>
      </c>
      <c r="J558" t="s">
        <v>7</v>
      </c>
      <c r="K558" t="s">
        <v>100</v>
      </c>
      <c r="L558" t="s">
        <v>1475</v>
      </c>
    </row>
    <row r="559" spans="1:12" ht="12.75">
      <c r="A559">
        <f t="shared" si="41"/>
      </c>
      <c r="B559">
        <f t="shared" si="42"/>
      </c>
      <c r="I559" t="s">
        <v>35</v>
      </c>
      <c r="J559" t="s">
        <v>7</v>
      </c>
      <c r="K559" t="s">
        <v>1211</v>
      </c>
      <c r="L559" t="s">
        <v>1476</v>
      </c>
    </row>
    <row r="560" spans="1:12" ht="12.75">
      <c r="A560">
        <f t="shared" si="41"/>
      </c>
      <c r="B560">
        <f t="shared" si="42"/>
      </c>
      <c r="I560" t="s">
        <v>37</v>
      </c>
      <c r="J560" t="s">
        <v>7</v>
      </c>
      <c r="K560" t="s">
        <v>103</v>
      </c>
      <c r="L560" t="s">
        <v>1477</v>
      </c>
    </row>
    <row r="561" spans="1:12" ht="12.75">
      <c r="A561">
        <f t="shared" si="41"/>
      </c>
      <c r="B561">
        <f t="shared" si="42"/>
      </c>
      <c r="I561" t="s">
        <v>56</v>
      </c>
      <c r="J561" t="s">
        <v>7</v>
      </c>
      <c r="K561" t="s">
        <v>1212</v>
      </c>
      <c r="L561" t="s">
        <v>1478</v>
      </c>
    </row>
    <row r="562" spans="1:12" ht="12.75">
      <c r="A562">
        <f t="shared" si="41"/>
      </c>
      <c r="B562">
        <f t="shared" si="42"/>
      </c>
      <c r="I562" t="s">
        <v>58</v>
      </c>
      <c r="J562" t="s">
        <v>7</v>
      </c>
      <c r="K562" t="s">
        <v>1213</v>
      </c>
      <c r="L562" t="s">
        <v>1479</v>
      </c>
    </row>
    <row r="563" spans="1:12" ht="12.75">
      <c r="A563">
        <f t="shared" si="41"/>
      </c>
      <c r="B563">
        <f t="shared" si="42"/>
      </c>
      <c r="I563" t="s">
        <v>59</v>
      </c>
      <c r="J563" t="s">
        <v>7</v>
      </c>
      <c r="K563" t="s">
        <v>1208</v>
      </c>
      <c r="L563" t="s">
        <v>1480</v>
      </c>
    </row>
    <row r="564" spans="1:12" ht="12.75">
      <c r="A564">
        <f t="shared" si="41"/>
      </c>
      <c r="B564">
        <f t="shared" si="42"/>
      </c>
      <c r="I564" t="s">
        <v>60</v>
      </c>
      <c r="J564" t="s">
        <v>7</v>
      </c>
      <c r="K564" t="s">
        <v>1209</v>
      </c>
      <c r="L564" t="s">
        <v>1481</v>
      </c>
    </row>
    <row r="565" spans="1:12" ht="12.75">
      <c r="A565">
        <f t="shared" si="41"/>
      </c>
      <c r="B565">
        <f t="shared" si="42"/>
      </c>
      <c r="I565" t="s">
        <v>61</v>
      </c>
      <c r="J565" t="s">
        <v>7</v>
      </c>
      <c r="K565" t="s">
        <v>1210</v>
      </c>
      <c r="L565" t="s">
        <v>1482</v>
      </c>
    </row>
    <row r="566" spans="1:2" ht="12.75">
      <c r="A566">
        <f t="shared" si="41"/>
      </c>
      <c r="B566">
        <f t="shared" si="42"/>
      </c>
    </row>
    <row r="567" spans="1:13" ht="12.75">
      <c r="A567">
        <f t="shared" si="41"/>
      </c>
      <c r="B567">
        <f t="shared" si="42"/>
      </c>
      <c r="I567" t="s">
        <v>23</v>
      </c>
      <c r="J567" t="s">
        <v>7</v>
      </c>
      <c r="K567" t="s">
        <v>1214</v>
      </c>
      <c r="L567" t="s">
        <v>1455</v>
      </c>
      <c r="M567" t="s">
        <v>39</v>
      </c>
    </row>
    <row r="568" spans="1:2" ht="12.75">
      <c r="A568">
        <f t="shared" si="41"/>
      </c>
      <c r="B568">
        <f t="shared" si="42"/>
      </c>
    </row>
    <row r="569" spans="1:10" ht="12.75">
      <c r="A569">
        <f t="shared" si="41"/>
      </c>
      <c r="B569">
        <f t="shared" si="42"/>
      </c>
      <c r="I569" t="s">
        <v>40</v>
      </c>
      <c r="J569" t="s">
        <v>223</v>
      </c>
    </row>
    <row r="570" spans="1:14" ht="12.75">
      <c r="A570">
        <f t="shared" si="41"/>
      </c>
      <c r="B570">
        <f t="shared" si="42"/>
      </c>
      <c r="I570" t="s">
        <v>41</v>
      </c>
      <c r="J570" t="s">
        <v>42</v>
      </c>
      <c r="K570" t="s">
        <v>1483</v>
      </c>
      <c r="L570" t="s">
        <v>43</v>
      </c>
      <c r="M570">
        <v>95374</v>
      </c>
      <c r="N570" t="s">
        <v>1251</v>
      </c>
    </row>
    <row r="571" spans="1:12" ht="12.75">
      <c r="A571">
        <f t="shared" si="41"/>
      </c>
      <c r="B571">
        <f t="shared" si="42"/>
      </c>
      <c r="I571" t="s">
        <v>1484</v>
      </c>
      <c r="J571" t="s">
        <v>1623</v>
      </c>
      <c r="L571" t="s">
        <v>7</v>
      </c>
    </row>
    <row r="572" spans="1:12" ht="12.75">
      <c r="A572">
        <f t="shared" si="41"/>
      </c>
      <c r="B572">
        <f t="shared" si="42"/>
      </c>
      <c r="I572" t="s">
        <v>1485</v>
      </c>
      <c r="J572" t="s">
        <v>9</v>
      </c>
      <c r="L572" t="s">
        <v>7</v>
      </c>
    </row>
    <row r="573" spans="1:12" ht="12.75">
      <c r="A573">
        <f t="shared" si="41"/>
      </c>
      <c r="B573">
        <f t="shared" si="42"/>
      </c>
      <c r="I573" t="s">
        <v>10</v>
      </c>
      <c r="J573" t="s">
        <v>11</v>
      </c>
      <c r="L573" t="s">
        <v>12</v>
      </c>
    </row>
    <row r="574" spans="1:10" ht="12.75">
      <c r="A574">
        <f t="shared" si="41"/>
      </c>
      <c r="B574">
        <f t="shared" si="42"/>
      </c>
      <c r="I574" t="s">
        <v>13</v>
      </c>
      <c r="J574" t="s">
        <v>2</v>
      </c>
    </row>
    <row r="575" spans="1:12" ht="12.75">
      <c r="A575">
        <f t="shared" si="41"/>
      </c>
      <c r="B575">
        <f t="shared" si="42"/>
      </c>
      <c r="E575" t="s">
        <v>1164</v>
      </c>
      <c r="F575" t="s">
        <v>1205</v>
      </c>
      <c r="G575" t="s">
        <v>1163</v>
      </c>
      <c r="I575" t="s">
        <v>14</v>
      </c>
      <c r="J575" t="s">
        <v>15</v>
      </c>
      <c r="K575" t="s">
        <v>1205</v>
      </c>
      <c r="L575" t="s">
        <v>15</v>
      </c>
    </row>
    <row r="576" spans="1:10" ht="12.75">
      <c r="A576" t="str">
        <f t="shared" si="41"/>
        <v>NZD</v>
      </c>
      <c r="B576" t="str">
        <f t="shared" si="42"/>
        <v>AKL</v>
      </c>
      <c r="C576" t="s">
        <v>1029</v>
      </c>
      <c r="D576">
        <v>1</v>
      </c>
      <c r="E576" t="str">
        <f ca="1">VLOOKUP(E$9&amp;"RWSTAR"&amp;$D576,OFFSET($K576,0,0,MATCH(1,D579:D624,0),2),2,FALSE)</f>
        <v>4179R</v>
      </c>
      <c r="F576" t="str">
        <f ca="1">VLOOKUP(F$9&amp;"RWSTAR"&amp;$D576,OFFSET($K576,0,0,MATCH(1,D579:D624,0),2),2,FALSE)</f>
        <v>10629R</v>
      </c>
      <c r="G576" t="str">
        <f ca="1">VLOOKUP(G$9&amp;"RWSTAR"&amp;$D576,OFFSET($K576,0,0,MATCH(1,D579:D624,0),2),2,FALSE)</f>
        <v>14419R</v>
      </c>
      <c r="I576" t="s">
        <v>1354</v>
      </c>
      <c r="J576" t="s">
        <v>16</v>
      </c>
    </row>
    <row r="577" spans="1:18" ht="12.75">
      <c r="A577">
        <f t="shared" si="41"/>
      </c>
      <c r="B577">
        <f t="shared" si="42"/>
      </c>
      <c r="D577">
        <v>2</v>
      </c>
      <c r="E577" t="str">
        <f ca="1">VLOOKUP(E$9&amp;"RWSTAR"&amp;$D577,OFFSET($K577,0,0,MATCH(1,D579:D624,0),2),2,FALSE)</f>
        <v>4509R</v>
      </c>
      <c r="F577" t="str">
        <f ca="1">VLOOKUP(F$9&amp;"RWSTAR"&amp;$D577,OFFSET($K577,0,0,MATCH(1,D579:D624,0),2),2,FALSE)</f>
        <v>12069R</v>
      </c>
      <c r="G577" t="str">
        <f ca="1">VLOOKUP(G$9&amp;"RWSTAR"&amp;$D577,OFFSET($K577,0,0,MATCH(1,D579:D624,0),2),2,FALSE)</f>
        <v>16619R</v>
      </c>
      <c r="I577" t="s">
        <v>17</v>
      </c>
      <c r="J577" t="s">
        <v>7</v>
      </c>
      <c r="K577" t="s">
        <v>1208</v>
      </c>
      <c r="L577" s="56" t="s">
        <v>1040</v>
      </c>
      <c r="Q577" t="s">
        <v>88</v>
      </c>
      <c r="R577" t="s">
        <v>445</v>
      </c>
    </row>
    <row r="578" spans="1:18" ht="12.75">
      <c r="A578">
        <f t="shared" si="41"/>
      </c>
      <c r="B578">
        <f t="shared" si="42"/>
      </c>
      <c r="D578">
        <v>3</v>
      </c>
      <c r="E578" t="str">
        <f ca="1">VLOOKUP(E$9&amp;"RWSTAR"&amp;$D578,OFFSET($K578,0,0,MATCH(1,D579:D624,0),2),2,FALSE)</f>
        <v>5129R</v>
      </c>
      <c r="F578" t="str">
        <f ca="1">VLOOKUP(F$9&amp;"RWSTAR"&amp;$D578,OFFSET($K578,0,0,MATCH(1,D579:D624,0),2),2,FALSE)</f>
        <v>13699R</v>
      </c>
      <c r="G578" t="str">
        <f ca="1">VLOOKUP(G$9&amp;"RWSTAR"&amp;$D578,OFFSET($K578,0,0,MATCH(1,D579:D624,0),2),2,FALSE)</f>
        <v>18619R</v>
      </c>
      <c r="I578" t="s">
        <v>21</v>
      </c>
      <c r="J578" t="s">
        <v>7</v>
      </c>
      <c r="K578" t="s">
        <v>1209</v>
      </c>
      <c r="L578" s="56" t="s">
        <v>1041</v>
      </c>
      <c r="Q578" t="s">
        <v>90</v>
      </c>
      <c r="R578" t="s">
        <v>446</v>
      </c>
    </row>
    <row r="579" spans="1:18" ht="12.75">
      <c r="A579">
        <f t="shared" si="41"/>
      </c>
      <c r="B579">
        <f t="shared" si="42"/>
      </c>
      <c r="I579" t="s">
        <v>23</v>
      </c>
      <c r="J579" t="s">
        <v>7</v>
      </c>
      <c r="K579" t="s">
        <v>1210</v>
      </c>
      <c r="L579" s="56" t="s">
        <v>1042</v>
      </c>
      <c r="Q579" t="s">
        <v>1486</v>
      </c>
      <c r="R579" t="s">
        <v>447</v>
      </c>
    </row>
    <row r="580" spans="1:18" ht="12.75">
      <c r="A580">
        <f t="shared" si="41"/>
      </c>
      <c r="B580">
        <f t="shared" si="42"/>
      </c>
      <c r="E580" t="str">
        <f aca="true" t="shared" si="45" ref="E580:G582">(LEFT(E576,LEN(E576)-1))</f>
        <v>4179</v>
      </c>
      <c r="F580" t="str">
        <f t="shared" si="45"/>
        <v>10629</v>
      </c>
      <c r="G580" t="str">
        <f t="shared" si="45"/>
        <v>14419</v>
      </c>
      <c r="I580" t="s">
        <v>25</v>
      </c>
      <c r="J580" t="s">
        <v>7</v>
      </c>
      <c r="K580" t="s">
        <v>1211</v>
      </c>
      <c r="L580" s="56" t="s">
        <v>1043</v>
      </c>
      <c r="Q580" t="s">
        <v>1487</v>
      </c>
      <c r="R580" t="s">
        <v>448</v>
      </c>
    </row>
    <row r="581" spans="1:18" ht="12.75">
      <c r="A581">
        <f t="shared" si="41"/>
      </c>
      <c r="B581">
        <f t="shared" si="42"/>
      </c>
      <c r="E581" t="str">
        <f t="shared" si="45"/>
        <v>4509</v>
      </c>
      <c r="F581" t="str">
        <f t="shared" si="45"/>
        <v>12069</v>
      </c>
      <c r="G581" t="str">
        <f t="shared" si="45"/>
        <v>16619</v>
      </c>
      <c r="I581" t="s">
        <v>27</v>
      </c>
      <c r="J581" t="s">
        <v>7</v>
      </c>
      <c r="K581" t="s">
        <v>1212</v>
      </c>
      <c r="L581" s="56" t="s">
        <v>1044</v>
      </c>
      <c r="Q581" t="s">
        <v>1214</v>
      </c>
      <c r="R581" t="s">
        <v>449</v>
      </c>
    </row>
    <row r="582" spans="1:18" ht="12.75">
      <c r="A582">
        <f t="shared" si="41"/>
      </c>
      <c r="B582">
        <f t="shared" si="42"/>
      </c>
      <c r="E582" t="str">
        <f t="shared" si="45"/>
        <v>5129</v>
      </c>
      <c r="F582" t="str">
        <f t="shared" si="45"/>
        <v>13699</v>
      </c>
      <c r="G582" t="str">
        <f t="shared" si="45"/>
        <v>18619</v>
      </c>
      <c r="I582" t="s">
        <v>29</v>
      </c>
      <c r="J582" t="s">
        <v>7</v>
      </c>
      <c r="K582" t="s">
        <v>1213</v>
      </c>
      <c r="L582" s="56" t="s">
        <v>1045</v>
      </c>
      <c r="Q582" t="s">
        <v>1215</v>
      </c>
      <c r="R582" t="s">
        <v>450</v>
      </c>
    </row>
    <row r="583" spans="1:18" ht="12.75">
      <c r="A583">
        <f t="shared" si="41"/>
      </c>
      <c r="B583">
        <f t="shared" si="42"/>
      </c>
      <c r="I583" t="s">
        <v>31</v>
      </c>
      <c r="J583" t="s">
        <v>7</v>
      </c>
      <c r="K583" t="s">
        <v>1214</v>
      </c>
      <c r="L583" s="56" t="s">
        <v>1039</v>
      </c>
      <c r="Q583" t="s">
        <v>1216</v>
      </c>
      <c r="R583" t="s">
        <v>451</v>
      </c>
    </row>
    <row r="584" spans="1:18" ht="12.75">
      <c r="A584">
        <f t="shared" si="41"/>
      </c>
      <c r="B584">
        <f t="shared" si="42"/>
      </c>
      <c r="I584" t="s">
        <v>33</v>
      </c>
      <c r="J584" t="s">
        <v>7</v>
      </c>
      <c r="K584" t="s">
        <v>1215</v>
      </c>
      <c r="L584" s="56" t="s">
        <v>1046</v>
      </c>
      <c r="Q584" t="s">
        <v>95</v>
      </c>
      <c r="R584" t="s">
        <v>452</v>
      </c>
    </row>
    <row r="585" spans="1:18" ht="12.75">
      <c r="A585">
        <f aca="true" t="shared" si="46" ref="A585:A648">IF(J585="BASIS",I585,"")</f>
      </c>
      <c r="B585">
        <f aca="true" t="shared" si="47" ref="B585:B648">IF(A585&lt;&gt;"",LEFT(I581,3),"")</f>
      </c>
      <c r="I585" t="s">
        <v>35</v>
      </c>
      <c r="J585" t="s">
        <v>7</v>
      </c>
      <c r="K585" t="s">
        <v>1216</v>
      </c>
      <c r="L585" s="56" t="s">
        <v>1047</v>
      </c>
      <c r="Q585" t="s">
        <v>98</v>
      </c>
      <c r="R585" t="s">
        <v>453</v>
      </c>
    </row>
    <row r="586" spans="1:18" ht="12.75">
      <c r="A586">
        <f t="shared" si="46"/>
      </c>
      <c r="B586">
        <f t="shared" si="47"/>
      </c>
      <c r="I586" t="s">
        <v>37</v>
      </c>
      <c r="J586" t="s">
        <v>7</v>
      </c>
      <c r="Q586" t="s">
        <v>100</v>
      </c>
      <c r="R586" t="s">
        <v>454</v>
      </c>
    </row>
    <row r="587" spans="1:18" ht="12.75">
      <c r="A587">
        <f t="shared" si="46"/>
      </c>
      <c r="B587">
        <f t="shared" si="47"/>
      </c>
      <c r="I587" t="s">
        <v>56</v>
      </c>
      <c r="J587" t="s">
        <v>7</v>
      </c>
      <c r="Q587" t="s">
        <v>103</v>
      </c>
      <c r="R587" t="s">
        <v>455</v>
      </c>
    </row>
    <row r="588" spans="1:18" ht="12.75">
      <c r="A588">
        <f t="shared" si="46"/>
      </c>
      <c r="B588">
        <f t="shared" si="47"/>
      </c>
      <c r="I588" t="s">
        <v>58</v>
      </c>
      <c r="J588" t="s">
        <v>7</v>
      </c>
      <c r="Q588" t="s">
        <v>1211</v>
      </c>
      <c r="R588" t="s">
        <v>456</v>
      </c>
    </row>
    <row r="589" spans="1:18" ht="12.75">
      <c r="A589">
        <f t="shared" si="46"/>
      </c>
      <c r="B589">
        <f t="shared" si="47"/>
      </c>
      <c r="I589" t="s">
        <v>59</v>
      </c>
      <c r="J589" t="s">
        <v>7</v>
      </c>
      <c r="Q589" t="s">
        <v>1212</v>
      </c>
      <c r="R589" t="s">
        <v>457</v>
      </c>
    </row>
    <row r="590" spans="1:18" ht="12.75">
      <c r="A590">
        <f t="shared" si="46"/>
      </c>
      <c r="B590">
        <f t="shared" si="47"/>
      </c>
      <c r="I590" t="s">
        <v>60</v>
      </c>
      <c r="J590" t="s">
        <v>7</v>
      </c>
      <c r="Q590" t="s">
        <v>1213</v>
      </c>
      <c r="R590" t="s">
        <v>458</v>
      </c>
    </row>
    <row r="591" spans="1:18" ht="12.75">
      <c r="A591">
        <f t="shared" si="46"/>
      </c>
      <c r="B591">
        <f t="shared" si="47"/>
      </c>
      <c r="I591" t="s">
        <v>61</v>
      </c>
      <c r="J591" t="s">
        <v>7</v>
      </c>
      <c r="Q591" t="s">
        <v>1208</v>
      </c>
      <c r="R591" t="s">
        <v>459</v>
      </c>
    </row>
    <row r="592" spans="1:18" ht="12.75">
      <c r="A592">
        <f t="shared" si="46"/>
      </c>
      <c r="B592">
        <f t="shared" si="47"/>
      </c>
      <c r="I592" t="s">
        <v>62</v>
      </c>
      <c r="J592" t="s">
        <v>7</v>
      </c>
      <c r="Q592" t="s">
        <v>1209</v>
      </c>
      <c r="R592" t="s">
        <v>460</v>
      </c>
    </row>
    <row r="593" spans="1:18" ht="12.75">
      <c r="A593">
        <f t="shared" si="46"/>
      </c>
      <c r="B593">
        <f t="shared" si="47"/>
      </c>
      <c r="I593" t="s">
        <v>1688</v>
      </c>
      <c r="J593" t="s">
        <v>7</v>
      </c>
      <c r="Q593" t="s">
        <v>1210</v>
      </c>
      <c r="R593" t="s">
        <v>461</v>
      </c>
    </row>
    <row r="594" spans="1:2" ht="12.75">
      <c r="A594">
        <f t="shared" si="46"/>
      </c>
      <c r="B594">
        <f t="shared" si="47"/>
      </c>
    </row>
    <row r="595" spans="1:18" ht="12.75">
      <c r="A595">
        <f t="shared" si="46"/>
      </c>
      <c r="B595">
        <f t="shared" si="47"/>
      </c>
      <c r="I595" t="s">
        <v>27</v>
      </c>
      <c r="J595" t="s">
        <v>7</v>
      </c>
      <c r="K595" t="s">
        <v>1214</v>
      </c>
      <c r="L595" t="s">
        <v>449</v>
      </c>
      <c r="M595" t="s">
        <v>39</v>
      </c>
      <c r="Q595" t="s">
        <v>1214</v>
      </c>
      <c r="R595" t="s">
        <v>449</v>
      </c>
    </row>
    <row r="596" spans="1:2" ht="12.75">
      <c r="A596">
        <f t="shared" si="46"/>
      </c>
      <c r="B596">
        <f t="shared" si="47"/>
      </c>
    </row>
    <row r="597" spans="1:10" ht="12.75">
      <c r="A597">
        <f t="shared" si="46"/>
      </c>
      <c r="B597">
        <f t="shared" si="47"/>
      </c>
      <c r="I597" t="s">
        <v>40</v>
      </c>
      <c r="J597" t="s">
        <v>224</v>
      </c>
    </row>
    <row r="598" spans="1:18" ht="12.75">
      <c r="A598">
        <f t="shared" si="46"/>
      </c>
      <c r="B598">
        <f t="shared" si="47"/>
      </c>
      <c r="I598" t="s">
        <v>41</v>
      </c>
      <c r="J598" t="s">
        <v>42</v>
      </c>
      <c r="K598" t="s">
        <v>1488</v>
      </c>
      <c r="L598" t="s">
        <v>43</v>
      </c>
      <c r="M598">
        <v>0.7002801</v>
      </c>
      <c r="N598" t="s">
        <v>1251</v>
      </c>
      <c r="R598" s="31" t="s">
        <v>301</v>
      </c>
    </row>
    <row r="599" spans="1:21" ht="12.75">
      <c r="A599">
        <f t="shared" si="46"/>
      </c>
      <c r="B599">
        <f t="shared" si="47"/>
      </c>
      <c r="I599" t="s">
        <v>1489</v>
      </c>
      <c r="J599" t="s">
        <v>1623</v>
      </c>
      <c r="L599" t="s">
        <v>1624</v>
      </c>
      <c r="R599" t="s">
        <v>1489</v>
      </c>
      <c r="S599" t="s">
        <v>1623</v>
      </c>
      <c r="U599" t="s">
        <v>1624</v>
      </c>
    </row>
    <row r="600" spans="1:21" ht="12.75">
      <c r="A600">
        <f t="shared" si="46"/>
      </c>
      <c r="B600">
        <f t="shared" si="47"/>
      </c>
      <c r="I600" t="s">
        <v>1490</v>
      </c>
      <c r="J600" t="s">
        <v>9</v>
      </c>
      <c r="L600" t="s">
        <v>1624</v>
      </c>
      <c r="R600" t="s">
        <v>1490</v>
      </c>
      <c r="S600" t="s">
        <v>9</v>
      </c>
      <c r="U600" t="s">
        <v>1624</v>
      </c>
    </row>
    <row r="601" spans="1:21" ht="12.75">
      <c r="A601">
        <f t="shared" si="46"/>
      </c>
      <c r="B601">
        <f t="shared" si="47"/>
      </c>
      <c r="I601" t="s">
        <v>10</v>
      </c>
      <c r="J601" t="s">
        <v>11</v>
      </c>
      <c r="L601" t="s">
        <v>12</v>
      </c>
      <c r="R601" t="s">
        <v>10</v>
      </c>
      <c r="S601" t="s">
        <v>11</v>
      </c>
      <c r="U601" t="s">
        <v>12</v>
      </c>
    </row>
    <row r="602" spans="1:19" ht="12.75">
      <c r="A602">
        <f t="shared" si="46"/>
      </c>
      <c r="B602">
        <f t="shared" si="47"/>
      </c>
      <c r="I602" t="s">
        <v>13</v>
      </c>
      <c r="J602" t="s">
        <v>2</v>
      </c>
      <c r="R602" t="s">
        <v>13</v>
      </c>
      <c r="S602" t="s">
        <v>2</v>
      </c>
    </row>
    <row r="603" spans="1:21" ht="12.75">
      <c r="A603">
        <f t="shared" si="46"/>
      </c>
      <c r="B603">
        <f t="shared" si="47"/>
      </c>
      <c r="E603" t="s">
        <v>1164</v>
      </c>
      <c r="F603" t="s">
        <v>1205</v>
      </c>
      <c r="G603" t="s">
        <v>1163</v>
      </c>
      <c r="I603" t="s">
        <v>14</v>
      </c>
      <c r="J603" t="s">
        <v>15</v>
      </c>
      <c r="K603" t="s">
        <v>1205</v>
      </c>
      <c r="L603" t="s">
        <v>15</v>
      </c>
      <c r="R603" t="s">
        <v>14</v>
      </c>
      <c r="S603" t="s">
        <v>15</v>
      </c>
      <c r="T603" t="s">
        <v>1205</v>
      </c>
      <c r="U603" t="s">
        <v>15</v>
      </c>
    </row>
    <row r="604" spans="1:19" ht="12.75">
      <c r="A604" t="str">
        <f t="shared" si="46"/>
        <v>GBP</v>
      </c>
      <c r="B604" t="str">
        <f t="shared" si="47"/>
        <v>LON</v>
      </c>
      <c r="C604" t="s">
        <v>1203</v>
      </c>
      <c r="D604">
        <v>1</v>
      </c>
      <c r="E604" t="str">
        <f ca="1">VLOOKUP(E$9&amp;"RWSTAR"&amp;$D604,OFFSET($K604,0,0,MATCH(1,D607:D672,0),2),2,FALSE)</f>
        <v>1409R</v>
      </c>
      <c r="F604" t="str">
        <f ca="1">VLOOKUP(F$9&amp;"RWSTAR"&amp;$D604,OFFSET($K604,0,0,MATCH(1,D607:D672,0),2),2,FALSE)</f>
        <v>3869R</v>
      </c>
      <c r="G604" t="str">
        <f ca="1">VLOOKUP(G$9&amp;"RWSTAR"&amp;$D604,OFFSET($K604,0,0,MATCH(1,D607:D672,0),2),2,FALSE)</f>
        <v>6469R</v>
      </c>
      <c r="I604" t="s">
        <v>1330</v>
      </c>
      <c r="J604" t="s">
        <v>16</v>
      </c>
      <c r="R604" t="s">
        <v>1330</v>
      </c>
      <c r="S604" t="s">
        <v>16</v>
      </c>
    </row>
    <row r="605" spans="1:21" ht="12.75">
      <c r="A605">
        <f t="shared" si="46"/>
      </c>
      <c r="B605">
        <f t="shared" si="47"/>
      </c>
      <c r="D605">
        <v>2</v>
      </c>
      <c r="E605" t="str">
        <f ca="1">VLOOKUP(E$9&amp;"RWSTAR"&amp;$D605,OFFSET($K605,0,0,MATCH(1,D607:D672,0),2),2,FALSE)</f>
        <v>1739R</v>
      </c>
      <c r="F605" t="str">
        <f ca="1">VLOOKUP(F$9&amp;"RWSTAR"&amp;$D605,OFFSET($K605,0,0,MATCH(1,D607:D672,0),2),2,FALSE)</f>
        <v>4409R</v>
      </c>
      <c r="G605" t="str">
        <f ca="1">VLOOKUP(G$9&amp;"RWSTAR"&amp;$D605,OFFSET($K605,0,0,MATCH(1,D607:D672,0),2),2,FALSE)</f>
        <v>7459R</v>
      </c>
      <c r="I605" t="s">
        <v>17</v>
      </c>
      <c r="J605" t="s">
        <v>1624</v>
      </c>
      <c r="K605" t="s">
        <v>1208</v>
      </c>
      <c r="L605" t="s">
        <v>302</v>
      </c>
      <c r="R605" t="s">
        <v>17</v>
      </c>
      <c r="S605" t="s">
        <v>1624</v>
      </c>
      <c r="T605" t="s">
        <v>51</v>
      </c>
      <c r="U605" t="s">
        <v>462</v>
      </c>
    </row>
    <row r="606" spans="1:21" ht="12.75">
      <c r="A606">
        <f t="shared" si="46"/>
      </c>
      <c r="B606">
        <f t="shared" si="47"/>
      </c>
      <c r="D606">
        <v>3</v>
      </c>
      <c r="E606" t="str">
        <f ca="1">VLOOKUP(E$9&amp;"RWSTAR"&amp;$D606,OFFSET($K606,0,0,MATCH(1,D607:D672,0),2),2,FALSE)</f>
        <v>1959R</v>
      </c>
      <c r="F606" t="str">
        <f ca="1">VLOOKUP(F$9&amp;"RWSTAR"&amp;$D606,OFFSET($K606,0,0,MATCH(1,D607:D672,0),2),2,FALSE)</f>
        <v>5189R</v>
      </c>
      <c r="G606" t="str">
        <f ca="1">VLOOKUP(G$9&amp;"RWSTAR"&amp;$D606,OFFSET($K606,0,0,MATCH(1,D607:D672,0),2),2,FALSE)</f>
        <v>8779R</v>
      </c>
      <c r="I606" t="s">
        <v>21</v>
      </c>
      <c r="J606" t="s">
        <v>1624</v>
      </c>
      <c r="K606" t="s">
        <v>1209</v>
      </c>
      <c r="L606" t="s">
        <v>303</v>
      </c>
      <c r="R606" t="s">
        <v>21</v>
      </c>
      <c r="S606" t="s">
        <v>1624</v>
      </c>
      <c r="T606" t="s">
        <v>1491</v>
      </c>
      <c r="U606" t="s">
        <v>463</v>
      </c>
    </row>
    <row r="607" spans="1:21" ht="12.75">
      <c r="A607">
        <f t="shared" si="46"/>
      </c>
      <c r="B607">
        <f t="shared" si="47"/>
      </c>
      <c r="I607" t="s">
        <v>23</v>
      </c>
      <c r="J607" t="s">
        <v>1624</v>
      </c>
      <c r="K607" t="s">
        <v>1210</v>
      </c>
      <c r="L607" t="s">
        <v>304</v>
      </c>
      <c r="R607" t="s">
        <v>23</v>
      </c>
      <c r="S607" t="s">
        <v>1624</v>
      </c>
      <c r="T607" t="s">
        <v>1492</v>
      </c>
      <c r="U607" t="s">
        <v>464</v>
      </c>
    </row>
    <row r="608" spans="1:21" ht="12.75">
      <c r="A608">
        <f t="shared" si="46"/>
      </c>
      <c r="B608">
        <f t="shared" si="47"/>
      </c>
      <c r="E608" t="str">
        <f aca="true" t="shared" si="48" ref="E608:G610">(LEFT(E604,LEN(E604)-1))</f>
        <v>1409</v>
      </c>
      <c r="F608" t="str">
        <f t="shared" si="48"/>
        <v>3869</v>
      </c>
      <c r="G608" t="str">
        <f t="shared" si="48"/>
        <v>6469</v>
      </c>
      <c r="I608" t="s">
        <v>25</v>
      </c>
      <c r="J608" t="s">
        <v>1624</v>
      </c>
      <c r="K608" t="s">
        <v>1211</v>
      </c>
      <c r="L608" t="s">
        <v>305</v>
      </c>
      <c r="R608" t="s">
        <v>25</v>
      </c>
      <c r="S608" t="s">
        <v>1624</v>
      </c>
      <c r="T608" t="s">
        <v>1493</v>
      </c>
      <c r="U608" t="s">
        <v>465</v>
      </c>
    </row>
    <row r="609" spans="1:21" ht="12.75">
      <c r="A609">
        <f t="shared" si="46"/>
      </c>
      <c r="B609">
        <f t="shared" si="47"/>
      </c>
      <c r="E609" t="str">
        <f t="shared" si="48"/>
        <v>1739</v>
      </c>
      <c r="F609" t="str">
        <f t="shared" si="48"/>
        <v>4409</v>
      </c>
      <c r="G609" t="str">
        <f t="shared" si="48"/>
        <v>7459</v>
      </c>
      <c r="I609" t="s">
        <v>27</v>
      </c>
      <c r="J609" t="s">
        <v>1624</v>
      </c>
      <c r="K609" t="s">
        <v>1212</v>
      </c>
      <c r="L609" t="s">
        <v>306</v>
      </c>
      <c r="R609" t="s">
        <v>27</v>
      </c>
      <c r="S609" t="s">
        <v>1624</v>
      </c>
      <c r="T609" t="s">
        <v>19</v>
      </c>
      <c r="U609" t="s">
        <v>466</v>
      </c>
    </row>
    <row r="610" spans="1:21" ht="12.75">
      <c r="A610">
        <f t="shared" si="46"/>
      </c>
      <c r="B610">
        <f t="shared" si="47"/>
      </c>
      <c r="E610" t="str">
        <f t="shared" si="48"/>
        <v>1959</v>
      </c>
      <c r="F610" t="str">
        <f t="shared" si="48"/>
        <v>5189</v>
      </c>
      <c r="G610" t="str">
        <f t="shared" si="48"/>
        <v>8779</v>
      </c>
      <c r="I610" t="s">
        <v>29</v>
      </c>
      <c r="J610" t="s">
        <v>1624</v>
      </c>
      <c r="K610" t="s">
        <v>1213</v>
      </c>
      <c r="L610" t="s">
        <v>307</v>
      </c>
      <c r="R610" t="s">
        <v>29</v>
      </c>
      <c r="S610" t="s">
        <v>1624</v>
      </c>
      <c r="T610" t="s">
        <v>53</v>
      </c>
      <c r="U610" t="s">
        <v>467</v>
      </c>
    </row>
    <row r="611" spans="1:21" ht="12.75">
      <c r="A611">
        <f t="shared" si="46"/>
      </c>
      <c r="B611">
        <f t="shared" si="47"/>
      </c>
      <c r="I611" t="s">
        <v>31</v>
      </c>
      <c r="J611" t="s">
        <v>1624</v>
      </c>
      <c r="K611" t="s">
        <v>1214</v>
      </c>
      <c r="L611" t="s">
        <v>1071</v>
      </c>
      <c r="R611" t="s">
        <v>31</v>
      </c>
      <c r="S611" t="s">
        <v>1624</v>
      </c>
      <c r="T611" t="s">
        <v>1214</v>
      </c>
      <c r="U611" t="s">
        <v>468</v>
      </c>
    </row>
    <row r="612" spans="1:21" ht="12.75">
      <c r="A612">
        <f t="shared" si="46"/>
      </c>
      <c r="B612">
        <f t="shared" si="47"/>
      </c>
      <c r="I612" t="s">
        <v>33</v>
      </c>
      <c r="J612" t="s">
        <v>1624</v>
      </c>
      <c r="K612" t="s">
        <v>1215</v>
      </c>
      <c r="L612" t="s">
        <v>1072</v>
      </c>
      <c r="R612" t="s">
        <v>33</v>
      </c>
      <c r="S612" t="s">
        <v>1624</v>
      </c>
      <c r="T612" t="s">
        <v>1628</v>
      </c>
      <c r="U612" t="s">
        <v>469</v>
      </c>
    </row>
    <row r="613" spans="1:19" ht="12.75">
      <c r="A613">
        <f t="shared" si="46"/>
      </c>
      <c r="B613">
        <f t="shared" si="47"/>
      </c>
      <c r="I613" t="s">
        <v>1629</v>
      </c>
      <c r="J613" t="s">
        <v>1630</v>
      </c>
      <c r="K613" t="s">
        <v>1216</v>
      </c>
      <c r="L613" t="s">
        <v>1073</v>
      </c>
      <c r="R613" t="s">
        <v>1629</v>
      </c>
      <c r="S613" t="s">
        <v>1630</v>
      </c>
    </row>
    <row r="614" spans="1:21" ht="12.75">
      <c r="A614">
        <f t="shared" si="46"/>
      </c>
      <c r="B614">
        <f t="shared" si="47"/>
      </c>
      <c r="I614" t="s">
        <v>35</v>
      </c>
      <c r="J614" t="s">
        <v>1624</v>
      </c>
      <c r="R614" t="s">
        <v>35</v>
      </c>
      <c r="S614" t="s">
        <v>1624</v>
      </c>
      <c r="T614" t="s">
        <v>1215</v>
      </c>
      <c r="U614" t="s">
        <v>470</v>
      </c>
    </row>
    <row r="615" spans="1:21" ht="12.75">
      <c r="A615">
        <f t="shared" si="46"/>
      </c>
      <c r="B615">
        <f t="shared" si="47"/>
      </c>
      <c r="I615" t="s">
        <v>37</v>
      </c>
      <c r="J615" t="s">
        <v>1624</v>
      </c>
      <c r="R615" t="s">
        <v>37</v>
      </c>
      <c r="S615" t="s">
        <v>1624</v>
      </c>
      <c r="T615" t="s">
        <v>1494</v>
      </c>
      <c r="U615" t="s">
        <v>471</v>
      </c>
    </row>
    <row r="616" spans="1:19" ht="12.75">
      <c r="A616">
        <f t="shared" si="46"/>
      </c>
      <c r="B616">
        <f t="shared" si="47"/>
      </c>
      <c r="I616" t="s">
        <v>1495</v>
      </c>
      <c r="J616" t="s">
        <v>1623</v>
      </c>
      <c r="R616" t="s">
        <v>1495</v>
      </c>
      <c r="S616" t="s">
        <v>1623</v>
      </c>
    </row>
    <row r="617" spans="1:21" ht="12.75">
      <c r="A617">
        <f t="shared" si="46"/>
      </c>
      <c r="B617">
        <f t="shared" si="47"/>
      </c>
      <c r="I617" t="s">
        <v>56</v>
      </c>
      <c r="J617" t="s">
        <v>1624</v>
      </c>
      <c r="R617" t="s">
        <v>56</v>
      </c>
      <c r="S617" t="s">
        <v>1624</v>
      </c>
      <c r="T617" t="s">
        <v>1496</v>
      </c>
      <c r="U617" t="s">
        <v>472</v>
      </c>
    </row>
    <row r="618" spans="1:19" ht="12.75">
      <c r="A618">
        <f t="shared" si="46"/>
      </c>
      <c r="B618">
        <f t="shared" si="47"/>
      </c>
      <c r="I618" t="s">
        <v>1497</v>
      </c>
      <c r="J618" t="s">
        <v>1623</v>
      </c>
      <c r="R618" t="s">
        <v>1497</v>
      </c>
      <c r="S618" t="s">
        <v>1623</v>
      </c>
    </row>
    <row r="619" spans="1:21" ht="12.75">
      <c r="A619">
        <f t="shared" si="46"/>
      </c>
      <c r="B619">
        <f t="shared" si="47"/>
      </c>
      <c r="I619" t="s">
        <v>58</v>
      </c>
      <c r="J619" t="s">
        <v>1624</v>
      </c>
      <c r="R619" t="s">
        <v>58</v>
      </c>
      <c r="S619" t="s">
        <v>1624</v>
      </c>
      <c r="T619" t="s">
        <v>1216</v>
      </c>
      <c r="U619" t="s">
        <v>473</v>
      </c>
    </row>
    <row r="620" spans="1:21" ht="12.75">
      <c r="A620">
        <f t="shared" si="46"/>
      </c>
      <c r="B620">
        <f t="shared" si="47"/>
      </c>
      <c r="I620" t="s">
        <v>59</v>
      </c>
      <c r="J620" t="s">
        <v>1624</v>
      </c>
      <c r="R620" t="s">
        <v>59</v>
      </c>
      <c r="S620" t="s">
        <v>1624</v>
      </c>
      <c r="T620" t="s">
        <v>1496</v>
      </c>
      <c r="U620" t="s">
        <v>474</v>
      </c>
    </row>
    <row r="621" spans="1:19" ht="12.75">
      <c r="A621">
        <f t="shared" si="46"/>
      </c>
      <c r="B621">
        <f t="shared" si="47"/>
      </c>
      <c r="I621" t="s">
        <v>1498</v>
      </c>
      <c r="J621" t="s">
        <v>1623</v>
      </c>
      <c r="R621" t="s">
        <v>1498</v>
      </c>
      <c r="S621" t="s">
        <v>1623</v>
      </c>
    </row>
    <row r="622" spans="1:21" ht="12.75">
      <c r="A622">
        <f t="shared" si="46"/>
      </c>
      <c r="B622">
        <f t="shared" si="47"/>
      </c>
      <c r="I622" t="s">
        <v>60</v>
      </c>
      <c r="J622" t="s">
        <v>1624</v>
      </c>
      <c r="R622" t="s">
        <v>60</v>
      </c>
      <c r="S622" t="s">
        <v>1624</v>
      </c>
      <c r="T622" t="s">
        <v>1631</v>
      </c>
      <c r="U622" t="s">
        <v>475</v>
      </c>
    </row>
    <row r="623" spans="1:19" ht="12.75">
      <c r="A623">
        <f t="shared" si="46"/>
      </c>
      <c r="B623">
        <f t="shared" si="47"/>
      </c>
      <c r="I623" t="s">
        <v>1629</v>
      </c>
      <c r="J623" t="s">
        <v>1630</v>
      </c>
      <c r="R623" t="s">
        <v>1629</v>
      </c>
      <c r="S623" t="s">
        <v>1630</v>
      </c>
    </row>
    <row r="624" spans="1:21" ht="12.75">
      <c r="A624">
        <f t="shared" si="46"/>
      </c>
      <c r="B624">
        <f t="shared" si="47"/>
      </c>
      <c r="I624" t="s">
        <v>61</v>
      </c>
      <c r="J624" t="s">
        <v>1624</v>
      </c>
      <c r="R624" t="s">
        <v>61</v>
      </c>
      <c r="S624" t="s">
        <v>1624</v>
      </c>
      <c r="T624" t="s">
        <v>1499</v>
      </c>
      <c r="U624" t="s">
        <v>476</v>
      </c>
    </row>
    <row r="625" spans="1:19" ht="12.75">
      <c r="A625">
        <f t="shared" si="46"/>
      </c>
      <c r="B625">
        <f t="shared" si="47"/>
      </c>
      <c r="I625" t="s">
        <v>1497</v>
      </c>
      <c r="J625" t="s">
        <v>1623</v>
      </c>
      <c r="R625" t="s">
        <v>1497</v>
      </c>
      <c r="S625" t="s">
        <v>1623</v>
      </c>
    </row>
    <row r="626" spans="1:21" ht="12.75">
      <c r="A626">
        <f t="shared" si="46"/>
      </c>
      <c r="B626">
        <f t="shared" si="47"/>
      </c>
      <c r="I626" t="s">
        <v>62</v>
      </c>
      <c r="J626" t="s">
        <v>1624</v>
      </c>
      <c r="R626" t="s">
        <v>62</v>
      </c>
      <c r="S626" t="s">
        <v>1624</v>
      </c>
      <c r="T626" t="s">
        <v>1500</v>
      </c>
      <c r="U626" t="s">
        <v>477</v>
      </c>
    </row>
    <row r="627" spans="1:19" ht="12.75">
      <c r="A627">
        <f t="shared" si="46"/>
      </c>
      <c r="B627">
        <f t="shared" si="47"/>
      </c>
      <c r="I627" t="s">
        <v>1495</v>
      </c>
      <c r="J627" t="s">
        <v>1623</v>
      </c>
      <c r="R627" t="s">
        <v>1495</v>
      </c>
      <c r="S627" t="s">
        <v>1623</v>
      </c>
    </row>
    <row r="628" spans="1:21" ht="12.75">
      <c r="A628">
        <f t="shared" si="46"/>
      </c>
      <c r="B628">
        <f t="shared" si="47"/>
      </c>
      <c r="I628" t="s">
        <v>1688</v>
      </c>
      <c r="J628" t="s">
        <v>1624</v>
      </c>
      <c r="R628" t="s">
        <v>1688</v>
      </c>
      <c r="S628" t="s">
        <v>1624</v>
      </c>
      <c r="T628" t="s">
        <v>54</v>
      </c>
      <c r="U628" t="s">
        <v>1432</v>
      </c>
    </row>
    <row r="629" spans="1:21" ht="12.75">
      <c r="A629">
        <f t="shared" si="46"/>
      </c>
      <c r="B629">
        <f t="shared" si="47"/>
      </c>
      <c r="I629" t="s">
        <v>1689</v>
      </c>
      <c r="J629" t="s">
        <v>1624</v>
      </c>
      <c r="R629" t="s">
        <v>1689</v>
      </c>
      <c r="S629" t="s">
        <v>1624</v>
      </c>
      <c r="T629" t="s">
        <v>1211</v>
      </c>
      <c r="U629" t="s">
        <v>478</v>
      </c>
    </row>
    <row r="630" spans="1:21" ht="12.75">
      <c r="A630">
        <f t="shared" si="46"/>
      </c>
      <c r="B630">
        <f t="shared" si="47"/>
      </c>
      <c r="I630" t="s">
        <v>1690</v>
      </c>
      <c r="J630" t="s">
        <v>1624</v>
      </c>
      <c r="R630" t="s">
        <v>1690</v>
      </c>
      <c r="S630" t="s">
        <v>1624</v>
      </c>
      <c r="T630" t="s">
        <v>1499</v>
      </c>
      <c r="U630" t="s">
        <v>479</v>
      </c>
    </row>
    <row r="631" spans="1:19" ht="12.75">
      <c r="A631">
        <f t="shared" si="46"/>
      </c>
      <c r="B631">
        <f t="shared" si="47"/>
      </c>
      <c r="I631" t="s">
        <v>1498</v>
      </c>
      <c r="J631" t="s">
        <v>1623</v>
      </c>
      <c r="R631" t="s">
        <v>1498</v>
      </c>
      <c r="S631" t="s">
        <v>1623</v>
      </c>
    </row>
    <row r="632" spans="1:21" ht="12.75">
      <c r="A632">
        <f t="shared" si="46"/>
      </c>
      <c r="B632">
        <f t="shared" si="47"/>
      </c>
      <c r="I632" t="s">
        <v>1691</v>
      </c>
      <c r="J632" t="s">
        <v>1624</v>
      </c>
      <c r="R632" t="s">
        <v>1691</v>
      </c>
      <c r="S632" t="s">
        <v>1624</v>
      </c>
      <c r="T632" t="s">
        <v>1212</v>
      </c>
      <c r="U632" t="s">
        <v>480</v>
      </c>
    </row>
    <row r="633" spans="1:21" ht="12.75">
      <c r="A633">
        <f t="shared" si="46"/>
      </c>
      <c r="B633">
        <f t="shared" si="47"/>
      </c>
      <c r="I633" t="s">
        <v>1692</v>
      </c>
      <c r="J633" t="s">
        <v>1624</v>
      </c>
      <c r="R633" t="s">
        <v>1692</v>
      </c>
      <c r="S633" t="s">
        <v>1624</v>
      </c>
      <c r="T633" t="s">
        <v>1632</v>
      </c>
      <c r="U633" t="s">
        <v>481</v>
      </c>
    </row>
    <row r="634" spans="1:19" ht="12.75">
      <c r="A634">
        <f t="shared" si="46"/>
      </c>
      <c r="B634">
        <f t="shared" si="47"/>
      </c>
      <c r="I634" t="s">
        <v>1629</v>
      </c>
      <c r="J634" t="s">
        <v>1630</v>
      </c>
      <c r="R634" t="s">
        <v>1629</v>
      </c>
      <c r="S634" t="s">
        <v>1630</v>
      </c>
    </row>
    <row r="635" spans="1:21" ht="12.75">
      <c r="A635">
        <f t="shared" si="46"/>
      </c>
      <c r="B635">
        <f t="shared" si="47"/>
      </c>
      <c r="I635" t="s">
        <v>1693</v>
      </c>
      <c r="J635" t="s">
        <v>1624</v>
      </c>
      <c r="R635" t="s">
        <v>1693</v>
      </c>
      <c r="S635" t="s">
        <v>1624</v>
      </c>
      <c r="T635" t="s">
        <v>1213</v>
      </c>
      <c r="U635" t="s">
        <v>482</v>
      </c>
    </row>
    <row r="636" spans="1:21" ht="12.75">
      <c r="A636">
        <f t="shared" si="46"/>
      </c>
      <c r="B636">
        <f t="shared" si="47"/>
      </c>
      <c r="I636" t="s">
        <v>1694</v>
      </c>
      <c r="J636" t="s">
        <v>1624</v>
      </c>
      <c r="R636" t="s">
        <v>1694</v>
      </c>
      <c r="S636" t="s">
        <v>1624</v>
      </c>
      <c r="T636" t="s">
        <v>55</v>
      </c>
      <c r="U636" t="s">
        <v>483</v>
      </c>
    </row>
    <row r="637" spans="1:21" ht="12.75">
      <c r="A637">
        <f t="shared" si="46"/>
      </c>
      <c r="B637">
        <f t="shared" si="47"/>
      </c>
      <c r="I637" t="s">
        <v>1695</v>
      </c>
      <c r="J637" t="s">
        <v>1624</v>
      </c>
      <c r="R637" t="s">
        <v>1695</v>
      </c>
      <c r="S637" t="s">
        <v>1624</v>
      </c>
      <c r="T637" t="s">
        <v>1501</v>
      </c>
      <c r="U637" t="s">
        <v>484</v>
      </c>
    </row>
    <row r="638" spans="1:19" ht="12.75">
      <c r="A638">
        <f t="shared" si="46"/>
      </c>
      <c r="B638">
        <f t="shared" si="47"/>
      </c>
      <c r="I638" t="s">
        <v>1497</v>
      </c>
      <c r="J638" t="s">
        <v>1623</v>
      </c>
      <c r="R638" t="s">
        <v>1497</v>
      </c>
      <c r="S638" t="s">
        <v>1623</v>
      </c>
    </row>
    <row r="639" spans="1:21" ht="12.75">
      <c r="A639">
        <f t="shared" si="46"/>
      </c>
      <c r="B639">
        <f t="shared" si="47"/>
      </c>
      <c r="I639" t="s">
        <v>1696</v>
      </c>
      <c r="J639" t="s">
        <v>1624</v>
      </c>
      <c r="R639" t="s">
        <v>1696</v>
      </c>
      <c r="S639" t="s">
        <v>1624</v>
      </c>
      <c r="T639" t="s">
        <v>1501</v>
      </c>
      <c r="U639" t="s">
        <v>485</v>
      </c>
    </row>
    <row r="640" spans="1:19" ht="12.75">
      <c r="A640">
        <f t="shared" si="46"/>
      </c>
      <c r="B640">
        <f t="shared" si="47"/>
      </c>
      <c r="I640" t="s">
        <v>1498</v>
      </c>
      <c r="J640" t="s">
        <v>1623</v>
      </c>
      <c r="R640" t="s">
        <v>1498</v>
      </c>
      <c r="S640" t="s">
        <v>1623</v>
      </c>
    </row>
    <row r="641" spans="1:21" ht="12.75">
      <c r="A641">
        <f t="shared" si="46"/>
      </c>
      <c r="B641">
        <f t="shared" si="47"/>
      </c>
      <c r="I641" t="s">
        <v>1697</v>
      </c>
      <c r="J641" t="s">
        <v>1624</v>
      </c>
      <c r="R641" t="s">
        <v>1697</v>
      </c>
      <c r="S641" t="s">
        <v>1624</v>
      </c>
      <c r="T641" t="s">
        <v>1208</v>
      </c>
      <c r="U641" t="s">
        <v>486</v>
      </c>
    </row>
    <row r="642" spans="1:21" ht="12.75">
      <c r="A642">
        <f t="shared" si="46"/>
      </c>
      <c r="B642">
        <f t="shared" si="47"/>
      </c>
      <c r="I642" t="s">
        <v>1502</v>
      </c>
      <c r="J642" t="s">
        <v>1624</v>
      </c>
      <c r="R642" t="s">
        <v>1502</v>
      </c>
      <c r="S642" t="s">
        <v>1624</v>
      </c>
      <c r="T642" t="s">
        <v>1209</v>
      </c>
      <c r="U642" t="s">
        <v>604</v>
      </c>
    </row>
    <row r="643" spans="1:21" ht="12.75">
      <c r="A643">
        <f t="shared" si="46"/>
      </c>
      <c r="B643">
        <f t="shared" si="47"/>
      </c>
      <c r="I643" t="s">
        <v>1503</v>
      </c>
      <c r="J643" t="s">
        <v>1624</v>
      </c>
      <c r="R643" t="s">
        <v>1503</v>
      </c>
      <c r="S643" t="s">
        <v>1624</v>
      </c>
      <c r="T643" t="s">
        <v>1210</v>
      </c>
      <c r="U643" t="s">
        <v>495</v>
      </c>
    </row>
    <row r="644" spans="1:2" ht="12.75">
      <c r="A644">
        <f t="shared" si="46"/>
      </c>
      <c r="B644">
        <f t="shared" si="47"/>
      </c>
    </row>
    <row r="645" spans="1:21" ht="12.75">
      <c r="A645">
        <f t="shared" si="46"/>
      </c>
      <c r="B645">
        <f t="shared" si="47"/>
      </c>
      <c r="I645" t="s">
        <v>31</v>
      </c>
      <c r="J645" t="s">
        <v>1624</v>
      </c>
      <c r="M645" t="s">
        <v>39</v>
      </c>
      <c r="R645" t="s">
        <v>31</v>
      </c>
      <c r="S645" t="s">
        <v>1624</v>
      </c>
      <c r="T645" t="s">
        <v>1214</v>
      </c>
      <c r="U645" t="s">
        <v>468</v>
      </c>
    </row>
    <row r="646" spans="1:2" ht="12.75">
      <c r="A646">
        <f t="shared" si="46"/>
      </c>
      <c r="B646">
        <f t="shared" si="47"/>
      </c>
    </row>
    <row r="647" spans="1:10" ht="12.75">
      <c r="A647">
        <f t="shared" si="46"/>
      </c>
      <c r="B647">
        <f t="shared" si="47"/>
      </c>
      <c r="I647" t="s">
        <v>40</v>
      </c>
      <c r="J647" t="s">
        <v>225</v>
      </c>
    </row>
    <row r="648" spans="1:14" ht="12.75">
      <c r="A648">
        <f t="shared" si="46"/>
      </c>
      <c r="B648">
        <f t="shared" si="47"/>
      </c>
      <c r="I648" t="s">
        <v>41</v>
      </c>
      <c r="J648" t="s">
        <v>42</v>
      </c>
      <c r="K648" t="s">
        <v>1504</v>
      </c>
      <c r="L648" t="s">
        <v>43</v>
      </c>
      <c r="M648">
        <v>1.8573551</v>
      </c>
      <c r="N648" t="s">
        <v>1251</v>
      </c>
    </row>
    <row r="649" spans="1:10" ht="12.75">
      <c r="A649">
        <f aca="true" t="shared" si="49" ref="A649:A712">IF(J649="BASIS",I649,"")</f>
      </c>
      <c r="B649">
        <f aca="true" t="shared" si="50" ref="B649:B712">IF(A649&lt;&gt;"",LEFT(I645,3),"")</f>
      </c>
      <c r="I649" t="s">
        <v>1505</v>
      </c>
      <c r="J649" t="s">
        <v>7</v>
      </c>
    </row>
    <row r="650" spans="1:12" ht="12.75">
      <c r="A650">
        <f t="shared" si="49"/>
      </c>
      <c r="B650">
        <f t="shared" si="50"/>
      </c>
      <c r="I650" t="s">
        <v>1506</v>
      </c>
      <c r="J650" t="s">
        <v>9</v>
      </c>
      <c r="L650" t="s">
        <v>7</v>
      </c>
    </row>
    <row r="651" spans="1:12" ht="12.75">
      <c r="A651">
        <f t="shared" si="49"/>
      </c>
      <c r="B651">
        <f t="shared" si="50"/>
      </c>
      <c r="I651" t="s">
        <v>10</v>
      </c>
      <c r="J651" t="s">
        <v>11</v>
      </c>
      <c r="L651" t="s">
        <v>12</v>
      </c>
    </row>
    <row r="652" spans="1:10" ht="12.75">
      <c r="A652">
        <f t="shared" si="49"/>
      </c>
      <c r="B652">
        <f t="shared" si="50"/>
      </c>
      <c r="I652" t="s">
        <v>13</v>
      </c>
      <c r="J652" t="s">
        <v>2</v>
      </c>
    </row>
    <row r="653" spans="1:12" ht="12.75">
      <c r="A653">
        <f t="shared" si="49"/>
      </c>
      <c r="B653">
        <f t="shared" si="50"/>
      </c>
      <c r="E653" t="s">
        <v>1164</v>
      </c>
      <c r="F653" t="s">
        <v>1205</v>
      </c>
      <c r="G653" t="s">
        <v>1163</v>
      </c>
      <c r="I653" t="s">
        <v>14</v>
      </c>
      <c r="J653" t="s">
        <v>15</v>
      </c>
      <c r="K653" t="s">
        <v>1205</v>
      </c>
      <c r="L653" t="s">
        <v>15</v>
      </c>
    </row>
    <row r="654" spans="1:17" ht="12.75">
      <c r="A654" t="str">
        <f t="shared" si="49"/>
        <v>CAD</v>
      </c>
      <c r="B654" t="str">
        <f t="shared" si="50"/>
        <v>YVR</v>
      </c>
      <c r="C654" t="s">
        <v>1030</v>
      </c>
      <c r="D654">
        <v>1</v>
      </c>
      <c r="E654" t="str">
        <f ca="1">VLOOKUP(E$9&amp;"RWSTAR"&amp;$D654,OFFSET($K654,0,0,MATCH(1,D657:D702,0),2),2,FALSE)</f>
        <v>4599R</v>
      </c>
      <c r="F654" t="str">
        <f ca="1">VLOOKUP(F$9&amp;"RWSTAR"&amp;$D654,OFFSET($K654,0,0,MATCH(1,D657:D702,0),2),2,FALSE)</f>
        <v>9599R</v>
      </c>
      <c r="G654" t="str">
        <f ca="1">VLOOKUP(G$9&amp;"RWSTAR"&amp;$D654,OFFSET($K654,0,0,MATCH(1,D657:D702,0),2),2,FALSE)</f>
        <v>13599R</v>
      </c>
      <c r="I654" t="s">
        <v>1356</v>
      </c>
      <c r="J654" t="s">
        <v>16</v>
      </c>
      <c r="Q654" s="31" t="s">
        <v>301</v>
      </c>
    </row>
    <row r="655" spans="1:18" ht="12.75">
      <c r="A655">
        <f t="shared" si="49"/>
      </c>
      <c r="B655">
        <f t="shared" si="50"/>
      </c>
      <c r="D655">
        <v>2</v>
      </c>
      <c r="E655" t="str">
        <f ca="1">VLOOKUP(E$9&amp;"RWSTAR"&amp;$D655,OFFSET($K655,0,0,MATCH(1,D657:D702,0),2),2,FALSE)</f>
        <v>5249R</v>
      </c>
      <c r="F655" t="str">
        <f ca="1">VLOOKUP(F$9&amp;"RWSTAR"&amp;$D655,OFFSET($K655,0,0,MATCH(1,D657:D702,0),2),2,FALSE)</f>
        <v>11549R</v>
      </c>
      <c r="G655" t="str">
        <f ca="1">VLOOKUP(G$9&amp;"RWSTAR"&amp;$D655,OFFSET($K655,0,0,MATCH(1,D657:D702,0),2),2,FALSE)</f>
        <v>15649R</v>
      </c>
      <c r="I655" t="s">
        <v>17</v>
      </c>
      <c r="J655" t="s">
        <v>7</v>
      </c>
      <c r="K655" t="s">
        <v>1208</v>
      </c>
      <c r="L655" t="s">
        <v>1091</v>
      </c>
      <c r="Q655" t="s">
        <v>19</v>
      </c>
      <c r="R655" t="s">
        <v>496</v>
      </c>
    </row>
    <row r="656" spans="1:18" ht="12.75">
      <c r="A656">
        <f t="shared" si="49"/>
      </c>
      <c r="B656">
        <f t="shared" si="50"/>
      </c>
      <c r="D656">
        <v>3</v>
      </c>
      <c r="E656">
        <f ca="1">VLOOKUP(E$9&amp;"RWSTAR"&amp;$D656,OFFSET($K656,0,0,MATCH(1,D657:D702,0),2),2,FALSE)</f>
        <v>5999</v>
      </c>
      <c r="F656" t="str">
        <f ca="1">VLOOKUP(F$9&amp;"RWSTAR"&amp;$D656,OFFSET($K656,0,0,MATCH(1,D657:D702,0),2),2,FALSE)</f>
        <v>12999R</v>
      </c>
      <c r="G656" t="str">
        <f ca="1">VLOOKUP(G$9&amp;"RWSTAR"&amp;$D656,OFFSET($K656,0,0,MATCH(1,D657:D702,0),2),2,FALSE)</f>
        <v>18399R</v>
      </c>
      <c r="I656" t="s">
        <v>21</v>
      </c>
      <c r="J656" t="s">
        <v>7</v>
      </c>
      <c r="K656" t="s">
        <v>1209</v>
      </c>
      <c r="L656" t="s">
        <v>1092</v>
      </c>
      <c r="Q656" t="s">
        <v>1214</v>
      </c>
      <c r="R656" t="s">
        <v>497</v>
      </c>
    </row>
    <row r="657" spans="1:18" ht="12.75">
      <c r="A657">
        <f t="shared" si="49"/>
      </c>
      <c r="B657">
        <f t="shared" si="50"/>
      </c>
      <c r="I657" t="s">
        <v>23</v>
      </c>
      <c r="J657" t="s">
        <v>7</v>
      </c>
      <c r="K657" t="s">
        <v>1210</v>
      </c>
      <c r="L657" t="s">
        <v>1093</v>
      </c>
      <c r="Q657" t="s">
        <v>1215</v>
      </c>
      <c r="R657" t="s">
        <v>482</v>
      </c>
    </row>
    <row r="658" spans="1:18" ht="12.75">
      <c r="A658">
        <f t="shared" si="49"/>
      </c>
      <c r="B658">
        <f t="shared" si="50"/>
      </c>
      <c r="E658" t="str">
        <f aca="true" t="shared" si="51" ref="E658:G660">(LEFT(E654,LEN(E654)-1))</f>
        <v>4599</v>
      </c>
      <c r="F658" t="str">
        <f t="shared" si="51"/>
        <v>9599</v>
      </c>
      <c r="G658" t="str">
        <f t="shared" si="51"/>
        <v>13599</v>
      </c>
      <c r="I658" t="s">
        <v>25</v>
      </c>
      <c r="J658" t="s">
        <v>7</v>
      </c>
      <c r="K658" t="s">
        <v>1211</v>
      </c>
      <c r="L658" t="s">
        <v>1094</v>
      </c>
      <c r="Q658" t="s">
        <v>1216</v>
      </c>
      <c r="R658" t="s">
        <v>498</v>
      </c>
    </row>
    <row r="659" spans="1:18" ht="12.75">
      <c r="A659">
        <f t="shared" si="49"/>
      </c>
      <c r="B659">
        <f t="shared" si="50"/>
      </c>
      <c r="E659" t="str">
        <f t="shared" si="51"/>
        <v>5249</v>
      </c>
      <c r="F659" t="str">
        <f t="shared" si="51"/>
        <v>11549</v>
      </c>
      <c r="G659" t="str">
        <f t="shared" si="51"/>
        <v>15649</v>
      </c>
      <c r="I659" t="s">
        <v>27</v>
      </c>
      <c r="J659" t="s">
        <v>7</v>
      </c>
      <c r="K659" t="s">
        <v>1212</v>
      </c>
      <c r="L659" t="s">
        <v>1095</v>
      </c>
      <c r="Q659" t="s">
        <v>1211</v>
      </c>
      <c r="R659" t="s">
        <v>499</v>
      </c>
    </row>
    <row r="660" spans="1:18" ht="12.75">
      <c r="A660">
        <f t="shared" si="49"/>
      </c>
      <c r="B660">
        <f t="shared" si="50"/>
      </c>
      <c r="E660" t="str">
        <f t="shared" si="51"/>
        <v>599</v>
      </c>
      <c r="F660" t="str">
        <f t="shared" si="51"/>
        <v>12999</v>
      </c>
      <c r="G660" t="str">
        <f t="shared" si="51"/>
        <v>18399</v>
      </c>
      <c r="I660" t="s">
        <v>29</v>
      </c>
      <c r="J660" t="s">
        <v>7</v>
      </c>
      <c r="K660" t="s">
        <v>1213</v>
      </c>
      <c r="L660" t="s">
        <v>317</v>
      </c>
      <c r="Q660" t="s">
        <v>1212</v>
      </c>
      <c r="R660" t="s">
        <v>500</v>
      </c>
    </row>
    <row r="661" spans="1:18" ht="12.75">
      <c r="A661">
        <f t="shared" si="49"/>
      </c>
      <c r="B661">
        <f t="shared" si="50"/>
      </c>
      <c r="I661" t="s">
        <v>31</v>
      </c>
      <c r="J661" t="s">
        <v>7</v>
      </c>
      <c r="K661" t="s">
        <v>1214</v>
      </c>
      <c r="L661" t="s">
        <v>264</v>
      </c>
      <c r="Q661" t="s">
        <v>1213</v>
      </c>
      <c r="R661" t="s">
        <v>501</v>
      </c>
    </row>
    <row r="662" spans="1:18" ht="12.75">
      <c r="A662">
        <f t="shared" si="49"/>
      </c>
      <c r="B662">
        <f t="shared" si="50"/>
      </c>
      <c r="I662" t="s">
        <v>33</v>
      </c>
      <c r="J662" t="s">
        <v>7</v>
      </c>
      <c r="K662" t="s">
        <v>1215</v>
      </c>
      <c r="L662" t="s">
        <v>362</v>
      </c>
      <c r="Q662" t="s">
        <v>1208</v>
      </c>
      <c r="R662" t="s">
        <v>502</v>
      </c>
    </row>
    <row r="663" spans="1:18" ht="12.75">
      <c r="A663">
        <f t="shared" si="49"/>
      </c>
      <c r="B663">
        <f t="shared" si="50"/>
      </c>
      <c r="I663" t="s">
        <v>35</v>
      </c>
      <c r="J663" t="s">
        <v>7</v>
      </c>
      <c r="K663" t="s">
        <v>1216</v>
      </c>
      <c r="L663">
        <v>5999</v>
      </c>
      <c r="Q663" t="s">
        <v>1209</v>
      </c>
      <c r="R663" t="s">
        <v>503</v>
      </c>
    </row>
    <row r="664" spans="1:18" ht="12.75">
      <c r="A664">
        <f t="shared" si="49"/>
      </c>
      <c r="B664">
        <f t="shared" si="50"/>
      </c>
      <c r="I664" t="s">
        <v>37</v>
      </c>
      <c r="J664" t="s">
        <v>7</v>
      </c>
      <c r="L664" t="s">
        <v>43</v>
      </c>
      <c r="Q664" t="s">
        <v>1210</v>
      </c>
      <c r="R664" t="s">
        <v>504</v>
      </c>
    </row>
    <row r="665" spans="1:2" ht="12.75">
      <c r="A665">
        <f t="shared" si="49"/>
      </c>
      <c r="B665">
        <f t="shared" si="50"/>
      </c>
    </row>
    <row r="666" spans="1:12" ht="12.75">
      <c r="A666">
        <f t="shared" si="49"/>
      </c>
      <c r="B666">
        <f t="shared" si="50"/>
      </c>
      <c r="I666" t="s">
        <v>1507</v>
      </c>
      <c r="J666" t="s">
        <v>497</v>
      </c>
      <c r="K666" t="s">
        <v>39</v>
      </c>
      <c r="L666" t="s">
        <v>1214</v>
      </c>
    </row>
    <row r="667" spans="1:2" ht="12.75">
      <c r="A667">
        <f t="shared" si="49"/>
      </c>
      <c r="B667">
        <f t="shared" si="50"/>
      </c>
    </row>
    <row r="668" spans="1:10" ht="12.75">
      <c r="A668">
        <f t="shared" si="49"/>
      </c>
      <c r="B668">
        <f t="shared" si="50"/>
      </c>
      <c r="I668" t="s">
        <v>40</v>
      </c>
      <c r="J668" t="s">
        <v>226</v>
      </c>
    </row>
    <row r="669" spans="1:14" ht="12.75">
      <c r="A669">
        <f t="shared" si="49"/>
      </c>
      <c r="B669">
        <f t="shared" si="50"/>
      </c>
      <c r="I669" t="s">
        <v>41</v>
      </c>
      <c r="J669" t="s">
        <v>42</v>
      </c>
      <c r="K669" t="s">
        <v>1508</v>
      </c>
      <c r="L669" t="s">
        <v>43</v>
      </c>
      <c r="M669">
        <v>0.7963051</v>
      </c>
      <c r="N669" t="s">
        <v>1251</v>
      </c>
    </row>
    <row r="670" spans="1:10" ht="12.75">
      <c r="A670">
        <f t="shared" si="49"/>
      </c>
      <c r="B670">
        <f t="shared" si="50"/>
      </c>
      <c r="I670" t="s">
        <v>1509</v>
      </c>
      <c r="J670" t="s">
        <v>7</v>
      </c>
    </row>
    <row r="671" spans="1:12" ht="12.75">
      <c r="A671">
        <f t="shared" si="49"/>
      </c>
      <c r="B671">
        <f t="shared" si="50"/>
      </c>
      <c r="I671" t="s">
        <v>1510</v>
      </c>
      <c r="J671" t="s">
        <v>9</v>
      </c>
      <c r="L671" t="s">
        <v>7</v>
      </c>
    </row>
    <row r="672" spans="1:12" ht="12.75">
      <c r="A672">
        <f t="shared" si="49"/>
      </c>
      <c r="B672">
        <f t="shared" si="50"/>
      </c>
      <c r="I672" t="s">
        <v>10</v>
      </c>
      <c r="J672" t="s">
        <v>11</v>
      </c>
      <c r="L672" t="s">
        <v>12</v>
      </c>
    </row>
    <row r="673" spans="1:10" ht="12.75">
      <c r="A673">
        <f t="shared" si="49"/>
      </c>
      <c r="B673">
        <f t="shared" si="50"/>
      </c>
      <c r="I673" t="s">
        <v>13</v>
      </c>
      <c r="J673" t="s">
        <v>2</v>
      </c>
    </row>
    <row r="674" spans="1:12" ht="12.75">
      <c r="A674">
        <f t="shared" si="49"/>
      </c>
      <c r="B674">
        <f t="shared" si="50"/>
      </c>
      <c r="E674" t="s">
        <v>1164</v>
      </c>
      <c r="F674" t="s">
        <v>1205</v>
      </c>
      <c r="G674" t="s">
        <v>1163</v>
      </c>
      <c r="I674" t="s">
        <v>14</v>
      </c>
      <c r="J674" t="s">
        <v>15</v>
      </c>
      <c r="K674" t="s">
        <v>1205</v>
      </c>
      <c r="L674" t="s">
        <v>15</v>
      </c>
    </row>
    <row r="675" spans="1:18" ht="12.75">
      <c r="A675" t="str">
        <f t="shared" si="49"/>
        <v>USD</v>
      </c>
      <c r="B675" t="str">
        <f t="shared" si="50"/>
        <v>SEA</v>
      </c>
      <c r="C675" t="s">
        <v>1198</v>
      </c>
      <c r="D675">
        <v>1</v>
      </c>
      <c r="E675" t="str">
        <f ca="1">VLOOKUP(E$9&amp;"RWSTAR"&amp;$D675,OFFSET($K675,0,0,MATCH(1,D678:D723,0),2),2,FALSE)</f>
        <v>3950R</v>
      </c>
      <c r="F675" t="str">
        <f ca="1">VLOOKUP(F$9&amp;"RWSTAR"&amp;$D675,OFFSET($K675,0,0,MATCH(1,D678:D723,0),2),2,FALSE)</f>
        <v>7650R</v>
      </c>
      <c r="G675" t="str">
        <f ca="1">VLOOKUP(G$9&amp;"RWSTAR"&amp;$D675,OFFSET($K675,0,0,MATCH(1,D678:D723,0),2),2,FALSE)</f>
        <v>10400R</v>
      </c>
      <c r="I675" t="s">
        <v>1251</v>
      </c>
      <c r="J675" t="s">
        <v>16</v>
      </c>
      <c r="R675" s="31" t="s">
        <v>301</v>
      </c>
    </row>
    <row r="676" spans="1:19" ht="12.75">
      <c r="A676">
        <f t="shared" si="49"/>
      </c>
      <c r="B676">
        <f t="shared" si="50"/>
      </c>
      <c r="D676">
        <v>2</v>
      </c>
      <c r="E676" t="str">
        <f ca="1">VLOOKUP(E$9&amp;"RWSTAR"&amp;$D676,OFFSET($K676,0,0,MATCH(1,D678:D723,0),2),2,FALSE)</f>
        <v>4550R</v>
      </c>
      <c r="F676" t="str">
        <f ca="1">VLOOKUP(F$9&amp;"RWSTAR"&amp;$D676,OFFSET($K676,0,0,MATCH(1,D678:D723,0),2),2,FALSE)</f>
        <v>8750R</v>
      </c>
      <c r="G676" t="str">
        <f ca="1">VLOOKUP(G$9&amp;"RWSTAR"&amp;$D676,OFFSET($K676,0,0,MATCH(1,D678:D723,0),2),2,FALSE)</f>
        <v>11900R</v>
      </c>
      <c r="I676" t="s">
        <v>17</v>
      </c>
      <c r="J676" t="s">
        <v>7</v>
      </c>
      <c r="K676" t="s">
        <v>1208</v>
      </c>
      <c r="L676" t="s">
        <v>1065</v>
      </c>
      <c r="R676" t="s">
        <v>1214</v>
      </c>
      <c r="S676" t="s">
        <v>505</v>
      </c>
    </row>
    <row r="677" spans="1:19" ht="12.75">
      <c r="A677">
        <f t="shared" si="49"/>
      </c>
      <c r="B677">
        <f t="shared" si="50"/>
      </c>
      <c r="D677">
        <v>3</v>
      </c>
      <c r="E677" t="str">
        <f ca="1">VLOOKUP(E$9&amp;"RWSTAR"&amp;$D677,OFFSET($K677,0,0,MATCH(1,D678:D723,0),2),2,FALSE)</f>
        <v>5350R</v>
      </c>
      <c r="F677" t="str">
        <f ca="1">VLOOKUP(F$9&amp;"RWSTAR"&amp;$D677,OFFSET($K677,0,0,MATCH(1,D678:D723,0),2),2,FALSE)</f>
        <v>10250R</v>
      </c>
      <c r="G677" t="str">
        <f ca="1">VLOOKUP(G$9&amp;"RWSTAR"&amp;$D677,OFFSET($K677,0,0,MATCH(1,D678:D723,0),2),2,FALSE)</f>
        <v>14000R</v>
      </c>
      <c r="I677" t="s">
        <v>21</v>
      </c>
      <c r="J677" t="s">
        <v>7</v>
      </c>
      <c r="K677" t="s">
        <v>1209</v>
      </c>
      <c r="L677" t="s">
        <v>1066</v>
      </c>
      <c r="R677" t="s">
        <v>1215</v>
      </c>
      <c r="S677" t="s">
        <v>506</v>
      </c>
    </row>
    <row r="678" spans="1:19" ht="12.75">
      <c r="A678">
        <f t="shared" si="49"/>
      </c>
      <c r="B678">
        <f t="shared" si="50"/>
      </c>
      <c r="I678" t="s">
        <v>23</v>
      </c>
      <c r="J678" t="s">
        <v>7</v>
      </c>
      <c r="K678" t="s">
        <v>1210</v>
      </c>
      <c r="L678" t="s">
        <v>1067</v>
      </c>
      <c r="R678" t="s">
        <v>1216</v>
      </c>
      <c r="S678" t="s">
        <v>507</v>
      </c>
    </row>
    <row r="679" spans="1:19" ht="12.75">
      <c r="A679">
        <f t="shared" si="49"/>
      </c>
      <c r="B679">
        <f t="shared" si="50"/>
      </c>
      <c r="E679" t="str">
        <f aca="true" t="shared" si="52" ref="E679:G681">(LEFT(E675,LEN(E675)-1))</f>
        <v>3950</v>
      </c>
      <c r="F679" t="str">
        <f t="shared" si="52"/>
        <v>7650</v>
      </c>
      <c r="G679" t="str">
        <f t="shared" si="52"/>
        <v>10400</v>
      </c>
      <c r="I679" t="s">
        <v>25</v>
      </c>
      <c r="J679" t="s">
        <v>7</v>
      </c>
      <c r="K679" t="s">
        <v>1211</v>
      </c>
      <c r="L679" t="s">
        <v>1068</v>
      </c>
      <c r="R679" t="s">
        <v>1211</v>
      </c>
      <c r="S679" t="s">
        <v>1439</v>
      </c>
    </row>
    <row r="680" spans="1:19" ht="12.75">
      <c r="A680">
        <f t="shared" si="49"/>
      </c>
      <c r="B680">
        <f t="shared" si="50"/>
      </c>
      <c r="E680" t="str">
        <f t="shared" si="52"/>
        <v>4550</v>
      </c>
      <c r="F680" t="str">
        <f t="shared" si="52"/>
        <v>8750</v>
      </c>
      <c r="G680" t="str">
        <f t="shared" si="52"/>
        <v>11900</v>
      </c>
      <c r="I680" t="s">
        <v>27</v>
      </c>
      <c r="J680" t="s">
        <v>7</v>
      </c>
      <c r="K680" t="s">
        <v>1212</v>
      </c>
      <c r="L680" t="s">
        <v>308</v>
      </c>
      <c r="R680" t="s">
        <v>1212</v>
      </c>
      <c r="S680" t="s">
        <v>1440</v>
      </c>
    </row>
    <row r="681" spans="1:19" ht="12.75">
      <c r="A681">
        <f t="shared" si="49"/>
      </c>
      <c r="B681">
        <f t="shared" si="50"/>
      </c>
      <c r="E681" t="str">
        <f t="shared" si="52"/>
        <v>5350</v>
      </c>
      <c r="F681" t="str">
        <f t="shared" si="52"/>
        <v>10250</v>
      </c>
      <c r="G681" t="str">
        <f t="shared" si="52"/>
        <v>14000</v>
      </c>
      <c r="I681" t="s">
        <v>29</v>
      </c>
      <c r="J681" t="s">
        <v>7</v>
      </c>
      <c r="K681" t="s">
        <v>1213</v>
      </c>
      <c r="L681" t="s">
        <v>375</v>
      </c>
      <c r="R681" t="s">
        <v>1208</v>
      </c>
      <c r="S681" t="s">
        <v>374</v>
      </c>
    </row>
    <row r="682" spans="1:19" ht="12.75">
      <c r="A682">
        <f t="shared" si="49"/>
      </c>
      <c r="B682">
        <f t="shared" si="50"/>
      </c>
      <c r="I682" t="s">
        <v>31</v>
      </c>
      <c r="J682" t="s">
        <v>7</v>
      </c>
      <c r="K682" t="s">
        <v>1214</v>
      </c>
      <c r="L682" t="s">
        <v>1069</v>
      </c>
      <c r="R682" t="s">
        <v>1213</v>
      </c>
      <c r="S682" t="s">
        <v>508</v>
      </c>
    </row>
    <row r="683" spans="1:19" ht="12.75">
      <c r="A683">
        <f t="shared" si="49"/>
      </c>
      <c r="B683">
        <f t="shared" si="50"/>
      </c>
      <c r="I683" t="s">
        <v>33</v>
      </c>
      <c r="J683" t="s">
        <v>7</v>
      </c>
      <c r="K683" t="s">
        <v>1215</v>
      </c>
      <c r="L683" t="s">
        <v>361</v>
      </c>
      <c r="R683" t="s">
        <v>1209</v>
      </c>
      <c r="S683" t="s">
        <v>1754</v>
      </c>
    </row>
    <row r="684" spans="1:19" ht="12.75">
      <c r="A684">
        <f t="shared" si="49"/>
      </c>
      <c r="B684">
        <f t="shared" si="50"/>
      </c>
      <c r="I684" t="s">
        <v>35</v>
      </c>
      <c r="J684" t="s">
        <v>7</v>
      </c>
      <c r="K684" t="s">
        <v>1216</v>
      </c>
      <c r="L684" t="s">
        <v>1070</v>
      </c>
      <c r="R684" t="s">
        <v>1210</v>
      </c>
      <c r="S684" t="s">
        <v>509</v>
      </c>
    </row>
    <row r="685" spans="1:10" ht="12.75">
      <c r="A685">
        <f t="shared" si="49"/>
      </c>
      <c r="B685">
        <f t="shared" si="50"/>
      </c>
      <c r="I685" t="s">
        <v>1511</v>
      </c>
      <c r="J685" t="s">
        <v>7</v>
      </c>
    </row>
    <row r="686" spans="1:12" ht="12.75">
      <c r="A686">
        <f t="shared" si="49"/>
      </c>
      <c r="B686">
        <f t="shared" si="50"/>
      </c>
      <c r="I686" t="s">
        <v>1512</v>
      </c>
      <c r="J686" t="s">
        <v>9</v>
      </c>
      <c r="L686" t="s">
        <v>7</v>
      </c>
    </row>
    <row r="687" spans="1:12" ht="12.75">
      <c r="A687">
        <f t="shared" si="49"/>
      </c>
      <c r="B687">
        <f t="shared" si="50"/>
      </c>
      <c r="I687" t="s">
        <v>10</v>
      </c>
      <c r="J687" t="s">
        <v>11</v>
      </c>
      <c r="L687" t="s">
        <v>12</v>
      </c>
    </row>
    <row r="688" spans="1:10" ht="12.75">
      <c r="A688">
        <f t="shared" si="49"/>
      </c>
      <c r="B688">
        <f t="shared" si="50"/>
      </c>
      <c r="I688" t="s">
        <v>13</v>
      </c>
      <c r="J688" t="s">
        <v>2</v>
      </c>
    </row>
    <row r="689" spans="1:12" ht="12.75">
      <c r="A689">
        <f t="shared" si="49"/>
      </c>
      <c r="B689">
        <f t="shared" si="50"/>
      </c>
      <c r="E689" t="s">
        <v>1164</v>
      </c>
      <c r="F689" t="s">
        <v>1205</v>
      </c>
      <c r="G689" t="s">
        <v>1163</v>
      </c>
      <c r="I689" t="s">
        <v>14</v>
      </c>
      <c r="J689" t="s">
        <v>15</v>
      </c>
      <c r="K689" t="s">
        <v>1205</v>
      </c>
      <c r="L689" t="s">
        <v>15</v>
      </c>
    </row>
    <row r="690" spans="1:10" ht="12.75">
      <c r="A690" t="str">
        <f t="shared" si="49"/>
        <v>AUD</v>
      </c>
      <c r="B690" t="str">
        <f t="shared" si="50"/>
        <v>SYD</v>
      </c>
      <c r="C690" t="s">
        <v>1028</v>
      </c>
      <c r="D690">
        <v>1</v>
      </c>
      <c r="E690" t="str">
        <f ca="1">VLOOKUP(E$9&amp;"RWSTAR"&amp;$D690,OFFSET($K690,0,0,MATCH(1,D693:D738,0),2),2,FALSE)</f>
        <v>3069R</v>
      </c>
      <c r="F690" t="str">
        <f ca="1">VLOOKUP(F$9&amp;"RWSTAR"&amp;$D690,OFFSET($K690,0,0,MATCH(1,D693:D738,0),2),2,FALSE)</f>
        <v>9509R</v>
      </c>
      <c r="G690" t="str">
        <f ca="1">VLOOKUP(G$9&amp;"RWSTAR"&amp;$D690,OFFSET($K690,0,0,MATCH(1,D693:D738,0),2),2,FALSE)</f>
        <v>13399R</v>
      </c>
      <c r="I690" t="s">
        <v>1353</v>
      </c>
      <c r="J690" t="s">
        <v>16</v>
      </c>
    </row>
    <row r="691" spans="1:21" ht="12.75">
      <c r="A691">
        <f t="shared" si="49"/>
      </c>
      <c r="B691">
        <f t="shared" si="50"/>
      </c>
      <c r="D691">
        <v>2</v>
      </c>
      <c r="E691" t="str">
        <f ca="1">VLOOKUP(E$9&amp;"RWSTAR"&amp;$D691,OFFSET($K691,0,0,MATCH(1,D693:D738,0),2),2,FALSE)</f>
        <v>3599R</v>
      </c>
      <c r="F691" t="str">
        <f ca="1">VLOOKUP(F$9&amp;"RWSTAR"&amp;$D691,OFFSET($K691,0,0,MATCH(1,D693:D738,0),2),2,FALSE)</f>
        <v>10599R</v>
      </c>
      <c r="G691" t="str">
        <f ca="1">VLOOKUP(G$9&amp;"RWSTAR"&amp;$D691,OFFSET($K691,0,0,MATCH(1,D693:D738,0),2),2,FALSE)</f>
        <v>14389R</v>
      </c>
      <c r="I691" t="s">
        <v>17</v>
      </c>
      <c r="J691" t="s">
        <v>7</v>
      </c>
      <c r="K691" t="s">
        <v>88</v>
      </c>
      <c r="L691" t="s">
        <v>436</v>
      </c>
      <c r="R691" t="s">
        <v>17</v>
      </c>
      <c r="S691" t="s">
        <v>7</v>
      </c>
      <c r="T691" t="s">
        <v>88</v>
      </c>
      <c r="U691" t="s">
        <v>436</v>
      </c>
    </row>
    <row r="692" spans="1:21" ht="12.75">
      <c r="A692">
        <f t="shared" si="49"/>
      </c>
      <c r="B692">
        <f t="shared" si="50"/>
      </c>
      <c r="D692">
        <v>3</v>
      </c>
      <c r="E692" t="str">
        <f ca="1">VLOOKUP(E$9&amp;"RWSTAR"&amp;$D692,OFFSET($K692,0,0,MATCH(1,D693:D738,0),2),2,FALSE)</f>
        <v>4199R</v>
      </c>
      <c r="F692" t="str">
        <f ca="1">VLOOKUP(F$9&amp;"RWSTAR"&amp;$D692,OFFSET($K692,0,0,MATCH(1,D693:D738,0),2),2,FALSE)</f>
        <v>11919R</v>
      </c>
      <c r="G692" t="str">
        <f ca="1">VLOOKUP(G$9&amp;"RWSTAR"&amp;$D692,OFFSET($K692,0,0,MATCH(1,D693:D738,0),2),2,FALSE)</f>
        <v>15379R</v>
      </c>
      <c r="I692" t="s">
        <v>21</v>
      </c>
      <c r="J692" t="s">
        <v>7</v>
      </c>
      <c r="K692" t="s">
        <v>90</v>
      </c>
      <c r="L692" t="s">
        <v>445</v>
      </c>
      <c r="R692" t="s">
        <v>21</v>
      </c>
      <c r="S692" t="s">
        <v>7</v>
      </c>
      <c r="T692" t="s">
        <v>90</v>
      </c>
      <c r="U692" t="s">
        <v>445</v>
      </c>
    </row>
    <row r="693" spans="1:21" ht="12.75">
      <c r="A693">
        <f t="shared" si="49"/>
      </c>
      <c r="B693">
        <f t="shared" si="50"/>
      </c>
      <c r="I693" t="s">
        <v>23</v>
      </c>
      <c r="J693" t="s">
        <v>7</v>
      </c>
      <c r="K693" t="s">
        <v>1486</v>
      </c>
      <c r="L693" t="s">
        <v>437</v>
      </c>
      <c r="R693" t="s">
        <v>23</v>
      </c>
      <c r="S693" t="s">
        <v>7</v>
      </c>
      <c r="T693" t="s">
        <v>1486</v>
      </c>
      <c r="U693" t="s">
        <v>437</v>
      </c>
    </row>
    <row r="694" spans="1:21" ht="12.75">
      <c r="A694">
        <f t="shared" si="49"/>
      </c>
      <c r="B694">
        <f t="shared" si="50"/>
      </c>
      <c r="E694" t="str">
        <f aca="true" t="shared" si="53" ref="E694:G696">(LEFT(E690,LEN(E690)-1))</f>
        <v>3069</v>
      </c>
      <c r="F694" t="str">
        <f t="shared" si="53"/>
        <v>9509</v>
      </c>
      <c r="G694" t="str">
        <f t="shared" si="53"/>
        <v>13399</v>
      </c>
      <c r="I694" t="s">
        <v>25</v>
      </c>
      <c r="J694" t="s">
        <v>7</v>
      </c>
      <c r="K694" t="s">
        <v>1487</v>
      </c>
      <c r="L694" t="s">
        <v>510</v>
      </c>
      <c r="R694" t="s">
        <v>25</v>
      </c>
      <c r="S694" t="s">
        <v>7</v>
      </c>
      <c r="T694" t="s">
        <v>1487</v>
      </c>
      <c r="U694" t="s">
        <v>510</v>
      </c>
    </row>
    <row r="695" spans="1:21" ht="12.75">
      <c r="A695">
        <f t="shared" si="49"/>
      </c>
      <c r="B695">
        <f t="shared" si="50"/>
      </c>
      <c r="E695" t="str">
        <f t="shared" si="53"/>
        <v>3599</v>
      </c>
      <c r="F695" t="str">
        <f t="shared" si="53"/>
        <v>10599</v>
      </c>
      <c r="G695" t="str">
        <f t="shared" si="53"/>
        <v>14389</v>
      </c>
      <c r="I695" t="s">
        <v>27</v>
      </c>
      <c r="J695" t="s">
        <v>7</v>
      </c>
      <c r="K695" t="s">
        <v>1214</v>
      </c>
      <c r="L695" t="s">
        <v>1080</v>
      </c>
      <c r="R695" t="s">
        <v>27</v>
      </c>
      <c r="S695" t="s">
        <v>7</v>
      </c>
      <c r="T695" t="s">
        <v>1214</v>
      </c>
      <c r="U695" t="s">
        <v>511</v>
      </c>
    </row>
    <row r="696" spans="1:21" ht="12.75">
      <c r="A696">
        <f t="shared" si="49"/>
      </c>
      <c r="B696">
        <f t="shared" si="50"/>
      </c>
      <c r="E696" t="str">
        <f t="shared" si="53"/>
        <v>4199</v>
      </c>
      <c r="F696" t="str">
        <f t="shared" si="53"/>
        <v>11919</v>
      </c>
      <c r="G696" t="str">
        <f t="shared" si="53"/>
        <v>15379</v>
      </c>
      <c r="I696" t="s">
        <v>29</v>
      </c>
      <c r="J696" t="s">
        <v>7</v>
      </c>
      <c r="K696" t="s">
        <v>1215</v>
      </c>
      <c r="L696" t="s">
        <v>449</v>
      </c>
      <c r="R696" t="s">
        <v>29</v>
      </c>
      <c r="S696" t="s">
        <v>7</v>
      </c>
      <c r="T696" t="s">
        <v>1215</v>
      </c>
      <c r="U696" t="s">
        <v>512</v>
      </c>
    </row>
    <row r="697" spans="1:21" ht="12.75">
      <c r="A697">
        <f t="shared" si="49"/>
      </c>
      <c r="B697">
        <f t="shared" si="50"/>
      </c>
      <c r="I697" t="s">
        <v>31</v>
      </c>
      <c r="J697" t="s">
        <v>7</v>
      </c>
      <c r="K697" t="s">
        <v>1216</v>
      </c>
      <c r="L697" t="s">
        <v>480</v>
      </c>
      <c r="R697" t="s">
        <v>31</v>
      </c>
      <c r="S697" t="s">
        <v>7</v>
      </c>
      <c r="T697" t="s">
        <v>1216</v>
      </c>
      <c r="U697" t="s">
        <v>513</v>
      </c>
    </row>
    <row r="698" spans="1:21" ht="12.75">
      <c r="A698">
        <f t="shared" si="49"/>
      </c>
      <c r="B698">
        <f t="shared" si="50"/>
      </c>
      <c r="I698" t="s">
        <v>33</v>
      </c>
      <c r="J698" t="s">
        <v>7</v>
      </c>
      <c r="K698" t="s">
        <v>95</v>
      </c>
      <c r="L698" t="s">
        <v>480</v>
      </c>
      <c r="R698" t="s">
        <v>33</v>
      </c>
      <c r="S698" t="s">
        <v>7</v>
      </c>
      <c r="T698" t="s">
        <v>95</v>
      </c>
      <c r="U698" t="s">
        <v>480</v>
      </c>
    </row>
    <row r="699" spans="1:21" ht="12.75">
      <c r="A699">
        <f t="shared" si="49"/>
      </c>
      <c r="B699">
        <f t="shared" si="50"/>
      </c>
      <c r="I699" t="s">
        <v>35</v>
      </c>
      <c r="J699" t="s">
        <v>7</v>
      </c>
      <c r="K699" t="s">
        <v>98</v>
      </c>
      <c r="L699" t="s">
        <v>514</v>
      </c>
      <c r="R699" t="s">
        <v>35</v>
      </c>
      <c r="S699" t="s">
        <v>7</v>
      </c>
      <c r="T699" t="s">
        <v>98</v>
      </c>
      <c r="U699" t="s">
        <v>514</v>
      </c>
    </row>
    <row r="700" spans="1:21" ht="12.75">
      <c r="A700">
        <f t="shared" si="49"/>
      </c>
      <c r="B700">
        <f t="shared" si="50"/>
      </c>
      <c r="I700" t="s">
        <v>37</v>
      </c>
      <c r="J700" t="s">
        <v>7</v>
      </c>
      <c r="K700" t="s">
        <v>100</v>
      </c>
      <c r="L700" t="s">
        <v>415</v>
      </c>
      <c r="R700" t="s">
        <v>37</v>
      </c>
      <c r="S700" t="s">
        <v>7</v>
      </c>
      <c r="T700" t="s">
        <v>100</v>
      </c>
      <c r="U700" t="s">
        <v>415</v>
      </c>
    </row>
    <row r="701" spans="1:21" ht="12.75">
      <c r="A701">
        <f t="shared" si="49"/>
      </c>
      <c r="B701">
        <f t="shared" si="50"/>
      </c>
      <c r="I701" t="s">
        <v>56</v>
      </c>
      <c r="J701" t="s">
        <v>7</v>
      </c>
      <c r="K701" t="s">
        <v>103</v>
      </c>
      <c r="L701" t="s">
        <v>454</v>
      </c>
      <c r="R701" t="s">
        <v>56</v>
      </c>
      <c r="S701" t="s">
        <v>7</v>
      </c>
      <c r="T701" t="s">
        <v>103</v>
      </c>
      <c r="U701" t="s">
        <v>454</v>
      </c>
    </row>
    <row r="702" spans="1:21" ht="12.75">
      <c r="A702">
        <f t="shared" si="49"/>
      </c>
      <c r="B702">
        <f t="shared" si="50"/>
      </c>
      <c r="I702" t="s">
        <v>58</v>
      </c>
      <c r="J702" t="s">
        <v>7</v>
      </c>
      <c r="K702" t="s">
        <v>1211</v>
      </c>
      <c r="L702" t="s">
        <v>1075</v>
      </c>
      <c r="R702" t="s">
        <v>58</v>
      </c>
      <c r="S702" t="s">
        <v>7</v>
      </c>
      <c r="T702" t="s">
        <v>1211</v>
      </c>
      <c r="U702" t="s">
        <v>443</v>
      </c>
    </row>
    <row r="703" spans="1:21" ht="12.75">
      <c r="A703">
        <f t="shared" si="49"/>
      </c>
      <c r="B703">
        <f t="shared" si="50"/>
      </c>
      <c r="I703" t="s">
        <v>59</v>
      </c>
      <c r="J703" t="s">
        <v>7</v>
      </c>
      <c r="K703" t="s">
        <v>1212</v>
      </c>
      <c r="L703" t="s">
        <v>1074</v>
      </c>
      <c r="R703" t="s">
        <v>59</v>
      </c>
      <c r="S703" t="s">
        <v>7</v>
      </c>
      <c r="T703" t="s">
        <v>1212</v>
      </c>
      <c r="U703" t="s">
        <v>515</v>
      </c>
    </row>
    <row r="704" spans="1:21" ht="12.75">
      <c r="A704">
        <f t="shared" si="49"/>
      </c>
      <c r="B704">
        <f t="shared" si="50"/>
      </c>
      <c r="I704" t="s">
        <v>60</v>
      </c>
      <c r="J704" t="s">
        <v>7</v>
      </c>
      <c r="K704" t="s">
        <v>1213</v>
      </c>
      <c r="L704" t="s">
        <v>1076</v>
      </c>
      <c r="R704" t="s">
        <v>60</v>
      </c>
      <c r="S704" t="s">
        <v>7</v>
      </c>
      <c r="T704" t="s">
        <v>1213</v>
      </c>
      <c r="U704" t="s">
        <v>516</v>
      </c>
    </row>
    <row r="705" spans="1:21" ht="12.75">
      <c r="A705">
        <f t="shared" si="49"/>
      </c>
      <c r="B705">
        <f t="shared" si="50"/>
      </c>
      <c r="I705" t="s">
        <v>61</v>
      </c>
      <c r="J705" t="s">
        <v>7</v>
      </c>
      <c r="K705" t="s">
        <v>1208</v>
      </c>
      <c r="L705" t="s">
        <v>1077</v>
      </c>
      <c r="R705" t="s">
        <v>61</v>
      </c>
      <c r="S705" t="s">
        <v>7</v>
      </c>
      <c r="T705" t="s">
        <v>1208</v>
      </c>
      <c r="U705" t="s">
        <v>517</v>
      </c>
    </row>
    <row r="706" spans="1:21" ht="12.75">
      <c r="A706">
        <f t="shared" si="49"/>
      </c>
      <c r="B706">
        <f t="shared" si="50"/>
      </c>
      <c r="I706" t="s">
        <v>62</v>
      </c>
      <c r="J706" t="s">
        <v>7</v>
      </c>
      <c r="K706" t="s">
        <v>1209</v>
      </c>
      <c r="L706" t="s">
        <v>1078</v>
      </c>
      <c r="R706" t="s">
        <v>62</v>
      </c>
      <c r="S706" t="s">
        <v>7</v>
      </c>
      <c r="T706" t="s">
        <v>1209</v>
      </c>
      <c r="U706" t="s">
        <v>518</v>
      </c>
    </row>
    <row r="707" spans="1:21" ht="12.75">
      <c r="A707">
        <f t="shared" si="49"/>
      </c>
      <c r="B707">
        <f t="shared" si="50"/>
      </c>
      <c r="I707" t="s">
        <v>1688</v>
      </c>
      <c r="J707" t="s">
        <v>7</v>
      </c>
      <c r="K707" t="s">
        <v>1210</v>
      </c>
      <c r="L707" t="s">
        <v>1079</v>
      </c>
      <c r="R707" t="s">
        <v>1688</v>
      </c>
      <c r="S707" t="s">
        <v>7</v>
      </c>
      <c r="T707" t="s">
        <v>1210</v>
      </c>
      <c r="U707" t="s">
        <v>519</v>
      </c>
    </row>
    <row r="708" spans="1:2" ht="12.75">
      <c r="A708">
        <f t="shared" si="49"/>
      </c>
      <c r="B708">
        <f t="shared" si="50"/>
      </c>
    </row>
    <row r="709" spans="1:13" ht="12.75">
      <c r="A709">
        <f t="shared" si="49"/>
      </c>
      <c r="B709">
        <f t="shared" si="50"/>
      </c>
      <c r="I709" t="s">
        <v>27</v>
      </c>
      <c r="J709" t="s">
        <v>7</v>
      </c>
      <c r="K709" t="s">
        <v>1214</v>
      </c>
      <c r="L709" t="s">
        <v>511</v>
      </c>
      <c r="M709" t="s">
        <v>39</v>
      </c>
    </row>
    <row r="710" spans="1:2" ht="12.75">
      <c r="A710">
        <f t="shared" si="49"/>
      </c>
      <c r="B710">
        <f t="shared" si="50"/>
      </c>
    </row>
    <row r="711" spans="1:10" ht="12.75">
      <c r="A711">
        <f t="shared" si="49"/>
      </c>
      <c r="B711">
        <f t="shared" si="50"/>
      </c>
      <c r="I711" t="s">
        <v>40</v>
      </c>
      <c r="J711" t="s">
        <v>227</v>
      </c>
    </row>
    <row r="712" spans="1:14" ht="12.75">
      <c r="A712">
        <f t="shared" si="49"/>
      </c>
      <c r="B712">
        <f t="shared" si="50"/>
      </c>
      <c r="I712" t="s">
        <v>41</v>
      </c>
      <c r="J712" t="s">
        <v>42</v>
      </c>
      <c r="K712" t="s">
        <v>1513</v>
      </c>
      <c r="L712" t="s">
        <v>43</v>
      </c>
      <c r="M712">
        <v>0.7675775</v>
      </c>
      <c r="N712" t="s">
        <v>1251</v>
      </c>
    </row>
    <row r="713" spans="1:13" ht="12.75">
      <c r="A713">
        <f aca="true" t="shared" si="54" ref="A713:A776">IF(J713="BASIS",I713,"")</f>
      </c>
      <c r="B713">
        <f aca="true" t="shared" si="55" ref="B713:B776">IF(A713&lt;&gt;"",LEFT(I709,3),"")</f>
      </c>
      <c r="I713" t="s">
        <v>27</v>
      </c>
      <c r="J713" t="s">
        <v>7</v>
      </c>
      <c r="K713" t="s">
        <v>1214</v>
      </c>
      <c r="L713" t="s">
        <v>511</v>
      </c>
      <c r="M713" t="s">
        <v>39</v>
      </c>
    </row>
    <row r="714" spans="1:2" ht="12.75">
      <c r="A714">
        <f t="shared" si="54"/>
      </c>
      <c r="B714">
        <f t="shared" si="55"/>
      </c>
    </row>
    <row r="715" spans="1:10" ht="12.75">
      <c r="A715">
        <f t="shared" si="54"/>
      </c>
      <c r="B715">
        <f t="shared" si="55"/>
      </c>
      <c r="I715" t="s">
        <v>40</v>
      </c>
      <c r="J715" t="s">
        <v>228</v>
      </c>
    </row>
    <row r="716" spans="1:14" ht="12.75">
      <c r="A716">
        <f t="shared" si="54"/>
      </c>
      <c r="B716">
        <f t="shared" si="55"/>
      </c>
      <c r="I716" t="s">
        <v>41</v>
      </c>
      <c r="J716" t="s">
        <v>42</v>
      </c>
      <c r="K716" t="s">
        <v>1513</v>
      </c>
      <c r="L716" t="s">
        <v>43</v>
      </c>
      <c r="M716">
        <v>0.5985261</v>
      </c>
      <c r="N716" t="s">
        <v>1308</v>
      </c>
    </row>
    <row r="717" spans="1:10" ht="12.75">
      <c r="A717">
        <f t="shared" si="54"/>
      </c>
      <c r="B717">
        <f t="shared" si="55"/>
      </c>
      <c r="I717" t="s">
        <v>1514</v>
      </c>
      <c r="J717" t="s">
        <v>7</v>
      </c>
    </row>
    <row r="718" spans="1:12" ht="12.75">
      <c r="A718">
        <f t="shared" si="54"/>
      </c>
      <c r="B718">
        <f t="shared" si="55"/>
      </c>
      <c r="I718" t="s">
        <v>1515</v>
      </c>
      <c r="J718" t="s">
        <v>9</v>
      </c>
      <c r="L718" t="s">
        <v>7</v>
      </c>
    </row>
    <row r="719" spans="1:12" ht="12.75">
      <c r="A719">
        <f t="shared" si="54"/>
      </c>
      <c r="B719">
        <f t="shared" si="55"/>
      </c>
      <c r="I719" t="s">
        <v>10</v>
      </c>
      <c r="J719" t="s">
        <v>11</v>
      </c>
      <c r="L719" t="s">
        <v>12</v>
      </c>
    </row>
    <row r="720" spans="1:10" ht="12.75">
      <c r="A720">
        <f t="shared" si="54"/>
      </c>
      <c r="B720">
        <f t="shared" si="55"/>
      </c>
      <c r="I720" t="s">
        <v>13</v>
      </c>
      <c r="J720" t="s">
        <v>2</v>
      </c>
    </row>
    <row r="721" spans="1:12" ht="12.75">
      <c r="A721">
        <f t="shared" si="54"/>
      </c>
      <c r="B721">
        <f t="shared" si="55"/>
      </c>
      <c r="E721" t="s">
        <v>1164</v>
      </c>
      <c r="F721" t="s">
        <v>1205</v>
      </c>
      <c r="G721" t="s">
        <v>1163</v>
      </c>
      <c r="I721" t="s">
        <v>14</v>
      </c>
      <c r="J721" t="s">
        <v>15</v>
      </c>
      <c r="K721" t="s">
        <v>1205</v>
      </c>
      <c r="L721" t="s">
        <v>15</v>
      </c>
    </row>
    <row r="722" spans="1:10" ht="12.75">
      <c r="A722" t="str">
        <f t="shared" si="54"/>
        <v>USD</v>
      </c>
      <c r="B722" t="str">
        <f t="shared" si="55"/>
        <v>BUE</v>
      </c>
      <c r="C722" t="s">
        <v>1233</v>
      </c>
      <c r="D722">
        <v>1</v>
      </c>
      <c r="E722" t="str">
        <f ca="1">VLOOKUP(E$9&amp;"RWSTAR"&amp;$D722,OFFSET($K722,0,0,MATCH(1,D725:D770,0),2),2,FALSE)</f>
        <v>2680R</v>
      </c>
      <c r="F722" t="str">
        <f ca="1">VLOOKUP(F$9&amp;"RWSTAR"&amp;$D722,OFFSET($K722,0,0,MATCH(1,D725:D770,0),2),2,FALSE)</f>
        <v>6830R</v>
      </c>
      <c r="G722" t="str">
        <f ca="1">VLOOKUP(G$9&amp;"RWSTAR"&amp;$D722,OFFSET($K722,0,0,MATCH(1,D725:D770,0),2),2,FALSE)</f>
        <v>8550R</v>
      </c>
      <c r="I722" t="s">
        <v>1251</v>
      </c>
      <c r="J722" t="s">
        <v>16</v>
      </c>
    </row>
    <row r="723" spans="1:12" ht="12.75">
      <c r="A723">
        <f t="shared" si="54"/>
      </c>
      <c r="B723">
        <f t="shared" si="55"/>
      </c>
      <c r="D723">
        <v>2</v>
      </c>
      <c r="E723" t="str">
        <f ca="1">VLOOKUP(E$9&amp;"RWSTAR"&amp;$D723,OFFSET($K723,0,0,MATCH(1,D725:D770,0),2),2,FALSE)</f>
        <v>3080R</v>
      </c>
      <c r="F723" t="str">
        <f ca="1">VLOOKUP(F$9&amp;"RWSTAR"&amp;$D723,OFFSET($K723,0,0,MATCH(1,D725:D770,0),2),2,FALSE)</f>
        <v>7850R</v>
      </c>
      <c r="G723" t="str">
        <f ca="1">VLOOKUP(G$9&amp;"RWSTAR"&amp;$D723,OFFSET($K723,0,0,MATCH(1,D725:D770,0),2),2,FALSE)</f>
        <v>9840R</v>
      </c>
      <c r="I723" t="s">
        <v>17</v>
      </c>
      <c r="J723" t="s">
        <v>7</v>
      </c>
      <c r="K723" t="s">
        <v>19</v>
      </c>
      <c r="L723" t="s">
        <v>520</v>
      </c>
    </row>
    <row r="724" spans="1:12" ht="12.75">
      <c r="A724">
        <f t="shared" si="54"/>
      </c>
      <c r="B724">
        <f t="shared" si="55"/>
      </c>
      <c r="D724">
        <v>3</v>
      </c>
      <c r="E724" t="str">
        <f ca="1">VLOOKUP(E$9&amp;"RWSTAR"&amp;$D724,OFFSET($K724,0,0,MATCH(1,D725:D770,0),2),2,FALSE)</f>
        <v>3610R</v>
      </c>
      <c r="F724" t="str">
        <f ca="1">VLOOKUP(F$9&amp;"RWSTAR"&amp;$D724,OFFSET($K724,0,0,MATCH(1,D725:D770,0),2),2,FALSE)</f>
        <v>9220R</v>
      </c>
      <c r="G724" t="str">
        <f ca="1">VLOOKUP(G$9&amp;"RWSTAR"&amp;$D724,OFFSET($K724,0,0,MATCH(1,D725:D770,0),2),2,FALSE)</f>
        <v>11540R</v>
      </c>
      <c r="I724" t="s">
        <v>21</v>
      </c>
      <c r="J724" t="s">
        <v>7</v>
      </c>
      <c r="K724" t="s">
        <v>1214</v>
      </c>
      <c r="L724" t="s">
        <v>521</v>
      </c>
    </row>
    <row r="725" spans="1:12" ht="12.75">
      <c r="A725">
        <f t="shared" si="54"/>
      </c>
      <c r="B725">
        <f t="shared" si="55"/>
      </c>
      <c r="I725" t="s">
        <v>23</v>
      </c>
      <c r="J725" t="s">
        <v>7</v>
      </c>
      <c r="K725" t="s">
        <v>1215</v>
      </c>
      <c r="L725" t="s">
        <v>522</v>
      </c>
    </row>
    <row r="726" spans="1:12" ht="12.75">
      <c r="A726">
        <f t="shared" si="54"/>
      </c>
      <c r="B726">
        <f t="shared" si="55"/>
      </c>
      <c r="E726" t="str">
        <f aca="true" t="shared" si="56" ref="E726:G728">(LEFT(E722,LEN(E722)-1))</f>
        <v>2680</v>
      </c>
      <c r="F726" t="str">
        <f t="shared" si="56"/>
        <v>6830</v>
      </c>
      <c r="G726" t="str">
        <f t="shared" si="56"/>
        <v>8550</v>
      </c>
      <c r="I726" t="s">
        <v>25</v>
      </c>
      <c r="J726" t="s">
        <v>7</v>
      </c>
      <c r="K726" t="s">
        <v>1216</v>
      </c>
      <c r="L726" t="s">
        <v>523</v>
      </c>
    </row>
    <row r="727" spans="1:12" ht="12.75">
      <c r="A727">
        <f t="shared" si="54"/>
      </c>
      <c r="B727">
        <f t="shared" si="55"/>
      </c>
      <c r="E727" t="str">
        <f t="shared" si="56"/>
        <v>3080</v>
      </c>
      <c r="F727" t="str">
        <f t="shared" si="56"/>
        <v>7850</v>
      </c>
      <c r="G727" t="str">
        <f t="shared" si="56"/>
        <v>9840</v>
      </c>
      <c r="I727" t="s">
        <v>27</v>
      </c>
      <c r="J727" t="s">
        <v>7</v>
      </c>
      <c r="K727" t="s">
        <v>1211</v>
      </c>
      <c r="L727" t="s">
        <v>524</v>
      </c>
    </row>
    <row r="728" spans="1:12" ht="12.75">
      <c r="A728">
        <f t="shared" si="54"/>
      </c>
      <c r="B728">
        <f t="shared" si="55"/>
      </c>
      <c r="E728" t="str">
        <f t="shared" si="56"/>
        <v>3610</v>
      </c>
      <c r="F728" t="str">
        <f t="shared" si="56"/>
        <v>9220</v>
      </c>
      <c r="G728" t="str">
        <f t="shared" si="56"/>
        <v>11540</v>
      </c>
      <c r="I728" t="s">
        <v>29</v>
      </c>
      <c r="J728" t="s">
        <v>7</v>
      </c>
      <c r="K728" t="s">
        <v>1212</v>
      </c>
      <c r="L728" t="s">
        <v>525</v>
      </c>
    </row>
    <row r="729" spans="1:12" ht="12.75">
      <c r="A729">
        <f t="shared" si="54"/>
      </c>
      <c r="B729">
        <f t="shared" si="55"/>
      </c>
      <c r="I729" t="s">
        <v>31</v>
      </c>
      <c r="J729" t="s">
        <v>7</v>
      </c>
      <c r="K729" t="s">
        <v>1208</v>
      </c>
      <c r="L729" t="s">
        <v>526</v>
      </c>
    </row>
    <row r="730" spans="1:12" ht="12.75">
      <c r="A730">
        <f t="shared" si="54"/>
      </c>
      <c r="B730">
        <f t="shared" si="55"/>
      </c>
      <c r="I730" t="s">
        <v>33</v>
      </c>
      <c r="J730" t="s">
        <v>7</v>
      </c>
      <c r="K730" t="s">
        <v>1213</v>
      </c>
      <c r="L730" t="s">
        <v>527</v>
      </c>
    </row>
    <row r="731" spans="1:12" ht="12.75">
      <c r="A731">
        <f t="shared" si="54"/>
      </c>
      <c r="B731">
        <f t="shared" si="55"/>
      </c>
      <c r="I731" t="s">
        <v>35</v>
      </c>
      <c r="J731" t="s">
        <v>7</v>
      </c>
      <c r="K731" t="s">
        <v>1209</v>
      </c>
      <c r="L731" t="s">
        <v>528</v>
      </c>
    </row>
    <row r="732" spans="1:12" ht="12.75">
      <c r="A732">
        <f t="shared" si="54"/>
      </c>
      <c r="B732">
        <f t="shared" si="55"/>
      </c>
      <c r="I732" t="s">
        <v>37</v>
      </c>
      <c r="J732" t="s">
        <v>7</v>
      </c>
      <c r="K732" t="s">
        <v>1210</v>
      </c>
      <c r="L732" t="s">
        <v>529</v>
      </c>
    </row>
    <row r="733" spans="1:12" ht="12.75">
      <c r="A733">
        <f t="shared" si="54"/>
      </c>
      <c r="B733">
        <f t="shared" si="55"/>
      </c>
      <c r="I733" t="s">
        <v>1516</v>
      </c>
      <c r="J733" t="s">
        <v>1746</v>
      </c>
      <c r="L733" t="s">
        <v>1517</v>
      </c>
    </row>
    <row r="734" spans="1:12" ht="12.75">
      <c r="A734">
        <f t="shared" si="54"/>
      </c>
      <c r="B734">
        <f t="shared" si="55"/>
      </c>
      <c r="I734" t="s">
        <v>1518</v>
      </c>
      <c r="J734" t="s">
        <v>1623</v>
      </c>
      <c r="L734" t="s">
        <v>7</v>
      </c>
    </row>
    <row r="735" spans="1:12" ht="12.75">
      <c r="A735">
        <f t="shared" si="54"/>
      </c>
      <c r="B735">
        <f t="shared" si="55"/>
      </c>
      <c r="I735" t="s">
        <v>1519</v>
      </c>
      <c r="J735" t="s">
        <v>9</v>
      </c>
      <c r="L735" t="s">
        <v>7</v>
      </c>
    </row>
    <row r="736" spans="1:12" ht="12.75">
      <c r="A736">
        <f t="shared" si="54"/>
      </c>
      <c r="B736">
        <f t="shared" si="55"/>
      </c>
      <c r="I736" t="s">
        <v>10</v>
      </c>
      <c r="J736" t="s">
        <v>11</v>
      </c>
      <c r="L736" t="s">
        <v>12</v>
      </c>
    </row>
    <row r="737" spans="1:10" ht="12.75">
      <c r="A737">
        <f t="shared" si="54"/>
      </c>
      <c r="B737">
        <f t="shared" si="55"/>
      </c>
      <c r="I737" t="s">
        <v>13</v>
      </c>
      <c r="J737" t="s">
        <v>2</v>
      </c>
    </row>
    <row r="738" spans="1:12" ht="12.75">
      <c r="A738">
        <f t="shared" si="54"/>
      </c>
      <c r="B738">
        <f t="shared" si="55"/>
      </c>
      <c r="E738" t="s">
        <v>1164</v>
      </c>
      <c r="F738" t="s">
        <v>1205</v>
      </c>
      <c r="G738" t="s">
        <v>1163</v>
      </c>
      <c r="I738" t="s">
        <v>14</v>
      </c>
      <c r="J738" t="s">
        <v>15</v>
      </c>
      <c r="K738" t="s">
        <v>1205</v>
      </c>
      <c r="L738" t="s">
        <v>15</v>
      </c>
    </row>
    <row r="739" spans="1:10" ht="12.75">
      <c r="A739" t="str">
        <f t="shared" si="54"/>
        <v>WST</v>
      </c>
      <c r="B739" t="str">
        <f t="shared" si="55"/>
        <v>APW</v>
      </c>
      <c r="C739" t="s">
        <v>1248</v>
      </c>
      <c r="D739">
        <v>1</v>
      </c>
      <c r="E739" t="str">
        <f ca="1">VLOOKUP(E$9&amp;"RWSTAR"&amp;$D739,OFFSET($K739,0,0,MATCH(1,D742:D787,0),2),2,FALSE)</f>
        <v>6188R</v>
      </c>
      <c r="F739" t="str">
        <f ca="1">VLOOKUP(F$9&amp;"RWSTAR"&amp;$D739,OFFSET($K739,0,0,MATCH(1,D742:D787,0),2),2,FALSE)</f>
        <v>14289R</v>
      </c>
      <c r="G739" t="str">
        <f ca="1">VLOOKUP(G$9&amp;"RWSTAR"&amp;$D739,OFFSET($K739,0,0,MATCH(1,D742:D787,0),2),2,FALSE)</f>
        <v>19769R</v>
      </c>
      <c r="I739" t="s">
        <v>1168</v>
      </c>
      <c r="J739" t="s">
        <v>16</v>
      </c>
    </row>
    <row r="740" spans="1:12" ht="12.75">
      <c r="A740">
        <f t="shared" si="54"/>
      </c>
      <c r="B740">
        <f t="shared" si="55"/>
      </c>
      <c r="D740">
        <v>2</v>
      </c>
      <c r="E740" t="str">
        <f ca="1">VLOOKUP(E$9&amp;"RWSTAR"&amp;$D740,OFFSET($K740,0,0,MATCH(1,D742:D787,0),2),2,FALSE)</f>
        <v>7116R</v>
      </c>
      <c r="F740" t="str">
        <f ca="1">VLOOKUP(F$9&amp;"RWSTAR"&amp;$D740,OFFSET($K740,0,0,MATCH(1,D742:D787,0),2),2,FALSE)</f>
        <v>16429R</v>
      </c>
      <c r="G740" t="str">
        <f ca="1">VLOOKUP(G$9&amp;"RWSTAR"&amp;$D740,OFFSET($K740,0,0,MATCH(1,D742:D787,0),2),2,FALSE)</f>
        <v>22729R</v>
      </c>
      <c r="I740" t="s">
        <v>17</v>
      </c>
      <c r="J740" t="s">
        <v>7</v>
      </c>
      <c r="K740" t="s">
        <v>19</v>
      </c>
      <c r="L740" t="s">
        <v>530</v>
      </c>
    </row>
    <row r="741" spans="1:12" ht="12.75">
      <c r="A741">
        <f t="shared" si="54"/>
      </c>
      <c r="B741">
        <f t="shared" si="55"/>
      </c>
      <c r="D741">
        <v>3</v>
      </c>
      <c r="E741" t="str">
        <f ca="1">VLOOKUP(E$9&amp;"RWSTAR"&amp;$D741,OFFSET($K741,0,0,MATCH(1,D742:D787,0),2),2,FALSE)</f>
        <v>8354R</v>
      </c>
      <c r="F741" t="str">
        <f ca="1">VLOOKUP(F$9&amp;"RWSTAR"&amp;$D741,OFFSET($K741,0,0,MATCH(1,D742:D787,0),2),2,FALSE)</f>
        <v>19299R</v>
      </c>
      <c r="G741" t="str">
        <f ca="1">VLOOKUP(G$9&amp;"RWSTAR"&amp;$D741,OFFSET($K741,0,0,MATCH(1,D742:D787,0),2),2,FALSE)</f>
        <v>26689R</v>
      </c>
      <c r="I741" t="s">
        <v>21</v>
      </c>
      <c r="J741" t="s">
        <v>7</v>
      </c>
      <c r="K741" t="s">
        <v>1214</v>
      </c>
      <c r="L741" t="s">
        <v>531</v>
      </c>
    </row>
    <row r="742" spans="1:12" ht="12.75">
      <c r="A742">
        <f t="shared" si="54"/>
      </c>
      <c r="B742">
        <f t="shared" si="55"/>
      </c>
      <c r="I742" t="s">
        <v>23</v>
      </c>
      <c r="J742" t="s">
        <v>7</v>
      </c>
      <c r="K742" t="s">
        <v>1215</v>
      </c>
      <c r="L742" t="s">
        <v>532</v>
      </c>
    </row>
    <row r="743" spans="1:12" ht="12.75">
      <c r="A743">
        <f t="shared" si="54"/>
      </c>
      <c r="B743">
        <f t="shared" si="55"/>
      </c>
      <c r="E743" t="str">
        <f aca="true" t="shared" si="57" ref="E743:G745">(LEFT(E739,LEN(E739)-1))</f>
        <v>6188</v>
      </c>
      <c r="F743" t="str">
        <f t="shared" si="57"/>
        <v>14289</v>
      </c>
      <c r="G743" t="str">
        <f t="shared" si="57"/>
        <v>19769</v>
      </c>
      <c r="I743" t="s">
        <v>25</v>
      </c>
      <c r="J743" t="s">
        <v>7</v>
      </c>
      <c r="K743" t="s">
        <v>1216</v>
      </c>
      <c r="L743" t="s">
        <v>533</v>
      </c>
    </row>
    <row r="744" spans="1:12" ht="12.75">
      <c r="A744">
        <f t="shared" si="54"/>
      </c>
      <c r="B744">
        <f t="shared" si="55"/>
      </c>
      <c r="E744" t="str">
        <f t="shared" si="57"/>
        <v>7116</v>
      </c>
      <c r="F744" t="str">
        <f t="shared" si="57"/>
        <v>16429</v>
      </c>
      <c r="G744" t="str">
        <f t="shared" si="57"/>
        <v>22729</v>
      </c>
      <c r="I744" t="s">
        <v>27</v>
      </c>
      <c r="J744" t="s">
        <v>7</v>
      </c>
      <c r="K744" t="s">
        <v>1211</v>
      </c>
      <c r="L744" t="s">
        <v>534</v>
      </c>
    </row>
    <row r="745" spans="1:12" ht="12.75">
      <c r="A745">
        <f t="shared" si="54"/>
      </c>
      <c r="B745">
        <f t="shared" si="55"/>
      </c>
      <c r="E745" t="str">
        <f t="shared" si="57"/>
        <v>8354</v>
      </c>
      <c r="F745" t="str">
        <f t="shared" si="57"/>
        <v>19299</v>
      </c>
      <c r="G745" t="str">
        <f t="shared" si="57"/>
        <v>26689</v>
      </c>
      <c r="I745" t="s">
        <v>29</v>
      </c>
      <c r="J745" t="s">
        <v>7</v>
      </c>
      <c r="K745" t="s">
        <v>1212</v>
      </c>
      <c r="L745" t="s">
        <v>535</v>
      </c>
    </row>
    <row r="746" spans="1:12" ht="12.75">
      <c r="A746">
        <f t="shared" si="54"/>
      </c>
      <c r="B746">
        <f t="shared" si="55"/>
      </c>
      <c r="I746" t="s">
        <v>31</v>
      </c>
      <c r="J746" t="s">
        <v>7</v>
      </c>
      <c r="K746" t="s">
        <v>1213</v>
      </c>
      <c r="L746" t="s">
        <v>536</v>
      </c>
    </row>
    <row r="747" spans="1:12" ht="12.75">
      <c r="A747">
        <f t="shared" si="54"/>
      </c>
      <c r="B747">
        <f t="shared" si="55"/>
      </c>
      <c r="I747" t="s">
        <v>33</v>
      </c>
      <c r="J747" t="s">
        <v>7</v>
      </c>
      <c r="K747" t="s">
        <v>1208</v>
      </c>
      <c r="L747" t="s">
        <v>537</v>
      </c>
    </row>
    <row r="748" spans="1:12" ht="12.75">
      <c r="A748">
        <f t="shared" si="54"/>
      </c>
      <c r="B748">
        <f t="shared" si="55"/>
      </c>
      <c r="I748" t="s">
        <v>35</v>
      </c>
      <c r="J748" t="s">
        <v>7</v>
      </c>
      <c r="K748" t="s">
        <v>1209</v>
      </c>
      <c r="L748" t="s">
        <v>538</v>
      </c>
    </row>
    <row r="749" spans="1:12" ht="12.75">
      <c r="A749">
        <f t="shared" si="54"/>
      </c>
      <c r="B749">
        <f t="shared" si="55"/>
      </c>
      <c r="I749" t="s">
        <v>37</v>
      </c>
      <c r="J749" t="s">
        <v>7</v>
      </c>
      <c r="K749" t="s">
        <v>1210</v>
      </c>
      <c r="L749" t="s">
        <v>539</v>
      </c>
    </row>
    <row r="750" spans="1:2" ht="12.75">
      <c r="A750">
        <f t="shared" si="54"/>
      </c>
      <c r="B750">
        <f t="shared" si="55"/>
      </c>
    </row>
    <row r="751" spans="1:13" ht="12.75">
      <c r="A751">
        <f t="shared" si="54"/>
      </c>
      <c r="B751">
        <f t="shared" si="55"/>
      </c>
      <c r="I751" t="s">
        <v>21</v>
      </c>
      <c r="J751" t="s">
        <v>7</v>
      </c>
      <c r="K751" t="s">
        <v>1214</v>
      </c>
      <c r="L751" t="s">
        <v>531</v>
      </c>
      <c r="M751" t="s">
        <v>39</v>
      </c>
    </row>
    <row r="752" spans="1:2" ht="12.75">
      <c r="A752">
        <f t="shared" si="54"/>
      </c>
      <c r="B752">
        <f t="shared" si="55"/>
      </c>
    </row>
    <row r="753" spans="1:10" ht="12.75">
      <c r="A753">
        <f t="shared" si="54"/>
      </c>
      <c r="B753">
        <f t="shared" si="55"/>
      </c>
      <c r="I753" t="s">
        <v>40</v>
      </c>
      <c r="J753" t="s">
        <v>229</v>
      </c>
    </row>
    <row r="754" spans="1:14" ht="12.75">
      <c r="A754">
        <f t="shared" si="54"/>
      </c>
      <c r="B754">
        <f t="shared" si="55"/>
      </c>
      <c r="I754" t="s">
        <v>41</v>
      </c>
      <c r="J754" t="s">
        <v>42</v>
      </c>
      <c r="K754" t="s">
        <v>1520</v>
      </c>
      <c r="L754" t="s">
        <v>43</v>
      </c>
      <c r="M754">
        <v>0.3815047</v>
      </c>
      <c r="N754" t="s">
        <v>1251</v>
      </c>
    </row>
    <row r="755" spans="1:13" ht="12.75">
      <c r="A755">
        <f t="shared" si="54"/>
      </c>
      <c r="B755">
        <f t="shared" si="55"/>
      </c>
      <c r="I755" t="s">
        <v>21</v>
      </c>
      <c r="J755" t="s">
        <v>7</v>
      </c>
      <c r="K755" t="s">
        <v>1214</v>
      </c>
      <c r="L755" t="s">
        <v>531</v>
      </c>
      <c r="M755" t="s">
        <v>39</v>
      </c>
    </row>
    <row r="756" spans="1:2" ht="12.75">
      <c r="A756">
        <f t="shared" si="54"/>
      </c>
      <c r="B756">
        <f t="shared" si="55"/>
      </c>
    </row>
    <row r="757" spans="1:10" ht="12.75">
      <c r="A757">
        <f t="shared" si="54"/>
      </c>
      <c r="B757">
        <f t="shared" si="55"/>
      </c>
      <c r="I757" t="s">
        <v>40</v>
      </c>
      <c r="J757" t="s">
        <v>230</v>
      </c>
    </row>
    <row r="758" spans="1:14" ht="12.75">
      <c r="A758">
        <f t="shared" si="54"/>
      </c>
      <c r="B758">
        <f t="shared" si="55"/>
      </c>
      <c r="I758" t="s">
        <v>263</v>
      </c>
      <c r="J758" t="s">
        <v>42</v>
      </c>
      <c r="K758" t="s">
        <v>1520</v>
      </c>
      <c r="L758" t="s">
        <v>43</v>
      </c>
      <c r="M758">
        <v>0.2820557</v>
      </c>
      <c r="N758" t="s">
        <v>1308</v>
      </c>
    </row>
    <row r="759" spans="1:14" ht="12.75">
      <c r="A759">
        <f t="shared" si="54"/>
      </c>
      <c r="B759">
        <f t="shared" si="55"/>
      </c>
      <c r="I759" t="s">
        <v>1521</v>
      </c>
      <c r="J759" t="s">
        <v>11</v>
      </c>
      <c r="K759" t="s">
        <v>1523</v>
      </c>
      <c r="L759" t="s">
        <v>1522</v>
      </c>
      <c r="M759" t="s">
        <v>43</v>
      </c>
      <c r="N759" t="s">
        <v>1524</v>
      </c>
    </row>
    <row r="760" spans="1:2" ht="12.75">
      <c r="A760">
        <f t="shared" si="54"/>
      </c>
      <c r="B760">
        <f t="shared" si="55"/>
      </c>
    </row>
    <row r="761" spans="1:10" ht="12.75">
      <c r="A761">
        <f t="shared" si="54"/>
      </c>
      <c r="B761">
        <f t="shared" si="55"/>
      </c>
      <c r="E761" t="s">
        <v>1164</v>
      </c>
      <c r="F761" t="s">
        <v>1205</v>
      </c>
      <c r="G761" t="s">
        <v>1163</v>
      </c>
      <c r="I761" t="s">
        <v>258</v>
      </c>
      <c r="J761" t="s">
        <v>259</v>
      </c>
    </row>
    <row r="762" spans="1:15" ht="12.75">
      <c r="A762" t="str">
        <f t="shared" si="54"/>
        <v>EUR</v>
      </c>
      <c r="B762" t="str">
        <f t="shared" si="55"/>
        <v>SOF</v>
      </c>
      <c r="C762" t="s">
        <v>1409</v>
      </c>
      <c r="D762">
        <v>1</v>
      </c>
      <c r="E762" t="str">
        <f ca="1">VLOOKUP(E$9&amp;"RWSTAR"&amp;$D762,OFFSET($K762,0,0,MATCH(1,D765:D810,0),2),2,FALSE)</f>
        <v>2210R</v>
      </c>
      <c r="F762" t="str">
        <f ca="1">VLOOKUP(F$9&amp;"RWSTAR"&amp;$D762,OFFSET($K762,0,0,MATCH(1,D765:D810,0),2),2,FALSE)</f>
        <v>5000R</v>
      </c>
      <c r="G762" t="str">
        <f ca="1">VLOOKUP(G$9&amp;"RWSTAR"&amp;$D762,OFFSET($K762,0,0,MATCH(1,D765:D810,0),2),2,FALSE)</f>
        <v>7710R</v>
      </c>
      <c r="I762" t="s">
        <v>1308</v>
      </c>
      <c r="J762" t="s">
        <v>16</v>
      </c>
      <c r="K762" t="s">
        <v>16</v>
      </c>
      <c r="L762" t="s">
        <v>260</v>
      </c>
      <c r="M762" t="s">
        <v>1308</v>
      </c>
      <c r="N762" t="s">
        <v>261</v>
      </c>
      <c r="O762" t="s">
        <v>262</v>
      </c>
    </row>
    <row r="763" spans="1:7" ht="12.75">
      <c r="A763">
        <f t="shared" si="54"/>
      </c>
      <c r="B763">
        <f t="shared" si="55"/>
      </c>
      <c r="D763">
        <v>2</v>
      </c>
      <c r="E763" t="str">
        <f ca="1">VLOOKUP(E$9&amp;"RWSTAR"&amp;$D763,OFFSET($K763,0,0,MATCH(1,D765:D810,0),2),2,FALSE)</f>
        <v>2760R</v>
      </c>
      <c r="F763" t="str">
        <f ca="1">VLOOKUP(F$9&amp;"RWSTAR"&amp;$D763,OFFSET($K763,0,0,MATCH(1,D765:D810,0),2),2,FALSE)</f>
        <v>5740R</v>
      </c>
      <c r="G763" t="str">
        <f ca="1">VLOOKUP(G$9&amp;"RWSTAR"&amp;$D763,OFFSET($K763,0,0,MATCH(1,D765:D810,0),2),2,FALSE)</f>
        <v>8870R</v>
      </c>
    </row>
    <row r="764" spans="1:7" ht="12.75">
      <c r="A764">
        <f t="shared" si="54"/>
      </c>
      <c r="B764">
        <f t="shared" si="55"/>
      </c>
      <c r="D764">
        <v>3</v>
      </c>
      <c r="E764" t="str">
        <f ca="1">VLOOKUP(E$9&amp;"RWSTAR"&amp;$D764,OFFSET($K764,0,0,MATCH(1,D765:D810,0),2),2,FALSE)</f>
        <v>3240R</v>
      </c>
      <c r="F764" t="str">
        <f ca="1">VLOOKUP(F$9&amp;"RWSTAR"&amp;$D764,OFFSET($K764,0,0,MATCH(1,D765:D810,0),2),2,FALSE)</f>
        <v>6740R</v>
      </c>
      <c r="G764" t="str">
        <f ca="1">VLOOKUP(G$9&amp;"RWSTAR"&amp;$D764,OFFSET($K764,0,0,MATCH(1,D765:D810,0),2),2,FALSE)</f>
        <v>10500R</v>
      </c>
    </row>
    <row r="765" spans="1:13" ht="12.75">
      <c r="A765">
        <f t="shared" si="54"/>
      </c>
      <c r="B765">
        <f t="shared" si="55"/>
      </c>
      <c r="I765">
        <v>2</v>
      </c>
      <c r="J765" t="s">
        <v>7</v>
      </c>
      <c r="K765" t="s">
        <v>1209</v>
      </c>
      <c r="L765" t="s">
        <v>1081</v>
      </c>
      <c r="M765" t="s">
        <v>1367</v>
      </c>
    </row>
    <row r="766" spans="1:13" ht="12.75">
      <c r="A766">
        <f t="shared" si="54"/>
      </c>
      <c r="B766">
        <f t="shared" si="55"/>
      </c>
      <c r="E766" t="str">
        <f aca="true" t="shared" si="58" ref="E766:G768">(LEFT(E762,LEN(E762)-1))</f>
        <v>2210</v>
      </c>
      <c r="F766" t="str">
        <f t="shared" si="58"/>
        <v>5000</v>
      </c>
      <c r="G766" t="str">
        <f t="shared" si="58"/>
        <v>7710</v>
      </c>
      <c r="I766">
        <v>3</v>
      </c>
      <c r="J766" t="s">
        <v>7</v>
      </c>
      <c r="K766" t="s">
        <v>1208</v>
      </c>
      <c r="L766" t="s">
        <v>1082</v>
      </c>
      <c r="M766" t="s">
        <v>1367</v>
      </c>
    </row>
    <row r="767" spans="1:13" ht="12.75">
      <c r="A767">
        <f t="shared" si="54"/>
      </c>
      <c r="B767">
        <f t="shared" si="55"/>
      </c>
      <c r="E767" t="str">
        <f t="shared" si="58"/>
        <v>2760</v>
      </c>
      <c r="F767" t="str">
        <f t="shared" si="58"/>
        <v>5740</v>
      </c>
      <c r="G767" t="str">
        <f t="shared" si="58"/>
        <v>8870</v>
      </c>
      <c r="I767">
        <v>4</v>
      </c>
      <c r="J767" t="s">
        <v>7</v>
      </c>
      <c r="K767" t="s">
        <v>1213</v>
      </c>
      <c r="L767" t="s">
        <v>1083</v>
      </c>
      <c r="M767" t="s">
        <v>1368</v>
      </c>
    </row>
    <row r="768" spans="1:13" ht="12.75">
      <c r="A768">
        <f t="shared" si="54"/>
      </c>
      <c r="B768">
        <f t="shared" si="55"/>
      </c>
      <c r="E768" t="str">
        <f t="shared" si="58"/>
        <v>3240</v>
      </c>
      <c r="F768" t="str">
        <f t="shared" si="58"/>
        <v>6740</v>
      </c>
      <c r="G768" t="str">
        <f t="shared" si="58"/>
        <v>10500</v>
      </c>
      <c r="I768">
        <v>5</v>
      </c>
      <c r="J768" t="s">
        <v>7</v>
      </c>
      <c r="K768" t="s">
        <v>1212</v>
      </c>
      <c r="L768" t="s">
        <v>1084</v>
      </c>
      <c r="M768" t="s">
        <v>1368</v>
      </c>
    </row>
    <row r="769" spans="1:13" ht="12.75">
      <c r="A769">
        <f t="shared" si="54"/>
      </c>
      <c r="B769">
        <f t="shared" si="55"/>
      </c>
      <c r="I769">
        <v>6</v>
      </c>
      <c r="J769" t="s">
        <v>7</v>
      </c>
      <c r="K769" t="s">
        <v>1211</v>
      </c>
      <c r="L769" t="s">
        <v>1085</v>
      </c>
      <c r="M769" t="s">
        <v>1368</v>
      </c>
    </row>
    <row r="770" spans="1:13" ht="12.75">
      <c r="A770">
        <f t="shared" si="54"/>
      </c>
      <c r="B770">
        <f t="shared" si="55"/>
      </c>
      <c r="I770">
        <v>7</v>
      </c>
      <c r="J770" t="s">
        <v>7</v>
      </c>
      <c r="K770" t="s">
        <v>1216</v>
      </c>
      <c r="L770" t="s">
        <v>1086</v>
      </c>
      <c r="M770" t="s">
        <v>327</v>
      </c>
    </row>
    <row r="771" spans="1:13" ht="12.75">
      <c r="A771">
        <f t="shared" si="54"/>
      </c>
      <c r="B771">
        <f t="shared" si="55"/>
      </c>
      <c r="I771">
        <v>8</v>
      </c>
      <c r="J771" t="s">
        <v>7</v>
      </c>
      <c r="K771" t="s">
        <v>1215</v>
      </c>
      <c r="L771" t="s">
        <v>1087</v>
      </c>
      <c r="M771" t="s">
        <v>327</v>
      </c>
    </row>
    <row r="772" spans="1:13" ht="12.75">
      <c r="A772">
        <f t="shared" si="54"/>
      </c>
      <c r="B772">
        <f t="shared" si="55"/>
      </c>
      <c r="I772">
        <v>9</v>
      </c>
      <c r="J772" t="s">
        <v>7</v>
      </c>
      <c r="K772" t="s">
        <v>1214</v>
      </c>
      <c r="L772" t="s">
        <v>1088</v>
      </c>
      <c r="M772" t="s">
        <v>327</v>
      </c>
    </row>
    <row r="773" spans="1:13" ht="12.75">
      <c r="A773">
        <f t="shared" si="54"/>
      </c>
      <c r="B773">
        <f t="shared" si="55"/>
      </c>
      <c r="I773">
        <v>0</v>
      </c>
      <c r="J773" t="s">
        <v>7</v>
      </c>
      <c r="K773" t="s">
        <v>19</v>
      </c>
      <c r="L773" t="s">
        <v>1089</v>
      </c>
      <c r="M773" t="s">
        <v>20</v>
      </c>
    </row>
    <row r="774" spans="1:13" ht="12.75">
      <c r="A774">
        <f t="shared" si="54"/>
      </c>
      <c r="B774">
        <f t="shared" si="55"/>
      </c>
      <c r="I774">
        <v>1</v>
      </c>
      <c r="J774" t="s">
        <v>7</v>
      </c>
      <c r="K774" t="s">
        <v>1210</v>
      </c>
      <c r="L774" t="s">
        <v>1090</v>
      </c>
      <c r="M774" t="s">
        <v>1367</v>
      </c>
    </row>
    <row r="775" spans="1:2" ht="12.75">
      <c r="A775">
        <f t="shared" si="54"/>
      </c>
      <c r="B775">
        <f t="shared" si="55"/>
      </c>
    </row>
    <row r="776" spans="1:2" ht="12.75">
      <c r="A776">
        <f t="shared" si="54"/>
      </c>
      <c r="B776">
        <f t="shared" si="55"/>
      </c>
    </row>
    <row r="777" spans="1:7" ht="12.75">
      <c r="A777">
        <f aca="true" t="shared" si="59" ref="A777:A794">IF(J777="BASIS",I777,"")</f>
      </c>
      <c r="B777">
        <f aca="true" t="shared" si="60" ref="B777:B799">IF(A777&lt;&gt;"",LEFT(I773,3),"")</f>
      </c>
      <c r="E777" t="s">
        <v>1164</v>
      </c>
      <c r="F777" t="s">
        <v>1205</v>
      </c>
      <c r="G777" t="s">
        <v>1163</v>
      </c>
    </row>
    <row r="778" spans="1:7" ht="12.75">
      <c r="A778">
        <f t="shared" si="59"/>
      </c>
      <c r="B778">
        <f t="shared" si="60"/>
      </c>
      <c r="D778">
        <v>1</v>
      </c>
      <c r="E778" t="e">
        <f ca="1">VLOOKUP(E$9&amp;"RWSTAR"&amp;$D778,OFFSET($K778,0,0,MATCH(1,D781:D826,0),2),2,FALSE)</f>
        <v>#N/A</v>
      </c>
      <c r="F778" t="e">
        <f ca="1">VLOOKUP(F$9&amp;"RWSTAR"&amp;$D778,OFFSET($K778,0,0,MATCH(1,D781:D826,0),2),2,FALSE)</f>
        <v>#N/A</v>
      </c>
      <c r="G778" t="e">
        <f ca="1">VLOOKUP(G$9&amp;"RWSTAR"&amp;$D778,OFFSET($K778,0,0,MATCH(1,D781:D826,0),2),2,FALSE)</f>
        <v>#N/A</v>
      </c>
    </row>
    <row r="779" spans="1:7" ht="12.75">
      <c r="A779">
        <f t="shared" si="59"/>
      </c>
      <c r="B779">
        <f t="shared" si="60"/>
      </c>
      <c r="D779">
        <v>2</v>
      </c>
      <c r="E779" t="e">
        <f ca="1">VLOOKUP(E$9&amp;"RWSTAR"&amp;$D779,OFFSET($K779,0,0,MATCH(1,D781:D826,0),2),2,FALSE)</f>
        <v>#N/A</v>
      </c>
      <c r="F779" t="e">
        <f ca="1">VLOOKUP(F$9&amp;"RWSTAR"&amp;$D779,OFFSET($K779,0,0,MATCH(1,D781:D826,0),2),2,FALSE)</f>
        <v>#N/A</v>
      </c>
      <c r="G779" t="e">
        <f ca="1">VLOOKUP(G$9&amp;"RWSTAR"&amp;$D779,OFFSET($K779,0,0,MATCH(1,D781:D826,0),2),2,FALSE)</f>
        <v>#N/A</v>
      </c>
    </row>
    <row r="780" spans="1:7" ht="12.75">
      <c r="A780">
        <f t="shared" si="59"/>
      </c>
      <c r="B780">
        <f t="shared" si="60"/>
      </c>
      <c r="D780">
        <v>3</v>
      </c>
      <c r="E780" t="e">
        <f ca="1">VLOOKUP(E$9&amp;"RWSTAR"&amp;$D780,OFFSET($K780,0,0,MATCH(1,D781:D826,0),2),2,FALSE)</f>
        <v>#N/A</v>
      </c>
      <c r="F780" t="e">
        <f ca="1">VLOOKUP(F$9&amp;"RWSTAR"&amp;$D780,OFFSET($K780,0,0,MATCH(1,D781:D826,0),2),2,FALSE)</f>
        <v>#N/A</v>
      </c>
      <c r="G780" t="e">
        <f ca="1">VLOOKUP(G$9&amp;"RWSTAR"&amp;$D780,OFFSET($K780,0,0,MATCH(1,D781:D826,0),2),2,FALSE)</f>
        <v>#N/A</v>
      </c>
    </row>
    <row r="781" spans="1:2" ht="12.75">
      <c r="A781">
        <f t="shared" si="59"/>
      </c>
      <c r="B781">
        <f t="shared" si="60"/>
      </c>
    </row>
    <row r="782" spans="1:7" ht="12.75">
      <c r="A782">
        <f t="shared" si="59"/>
      </c>
      <c r="B782">
        <f t="shared" si="60"/>
      </c>
      <c r="E782" t="e">
        <f aca="true" t="shared" si="61" ref="E782:G784">(LEFT(E778,LEN(E778)-1))</f>
        <v>#N/A</v>
      </c>
      <c r="F782" t="e">
        <f t="shared" si="61"/>
        <v>#N/A</v>
      </c>
      <c r="G782" t="e">
        <f t="shared" si="61"/>
        <v>#N/A</v>
      </c>
    </row>
    <row r="783" spans="1:7" ht="12.75">
      <c r="A783">
        <f t="shared" si="59"/>
      </c>
      <c r="B783">
        <f t="shared" si="60"/>
      </c>
      <c r="E783" t="e">
        <f t="shared" si="61"/>
        <v>#N/A</v>
      </c>
      <c r="F783" t="e">
        <f t="shared" si="61"/>
        <v>#N/A</v>
      </c>
      <c r="G783" t="e">
        <f t="shared" si="61"/>
        <v>#N/A</v>
      </c>
    </row>
    <row r="784" spans="1:7" ht="12.75">
      <c r="A784">
        <f t="shared" si="59"/>
      </c>
      <c r="B784">
        <f t="shared" si="60"/>
      </c>
      <c r="E784" t="e">
        <f t="shared" si="61"/>
        <v>#N/A</v>
      </c>
      <c r="F784" t="e">
        <f t="shared" si="61"/>
        <v>#N/A</v>
      </c>
      <c r="G784" t="e">
        <f t="shared" si="61"/>
        <v>#N/A</v>
      </c>
    </row>
    <row r="785" spans="1:2" ht="12.75">
      <c r="A785">
        <f t="shared" si="59"/>
      </c>
      <c r="B785">
        <f t="shared" si="60"/>
      </c>
    </row>
    <row r="786" spans="1:2" ht="12.75">
      <c r="A786">
        <f t="shared" si="59"/>
      </c>
      <c r="B786">
        <f t="shared" si="60"/>
      </c>
    </row>
    <row r="787" spans="1:2" ht="12.75">
      <c r="A787">
        <f t="shared" si="59"/>
      </c>
      <c r="B787">
        <f t="shared" si="60"/>
      </c>
    </row>
    <row r="788" spans="1:2" ht="12.75">
      <c r="A788">
        <f t="shared" si="59"/>
      </c>
      <c r="B788">
        <f t="shared" si="60"/>
      </c>
    </row>
    <row r="789" spans="1:2" ht="12.75">
      <c r="A789">
        <f t="shared" si="59"/>
      </c>
      <c r="B789">
        <f t="shared" si="60"/>
      </c>
    </row>
    <row r="790" spans="1:2" ht="12.75">
      <c r="A790">
        <f t="shared" si="59"/>
      </c>
      <c r="B790">
        <f t="shared" si="60"/>
      </c>
    </row>
    <row r="791" spans="1:2" ht="12.75">
      <c r="A791">
        <f t="shared" si="59"/>
      </c>
      <c r="B791">
        <f t="shared" si="60"/>
      </c>
    </row>
    <row r="792" spans="1:2" ht="12.75">
      <c r="A792">
        <f t="shared" si="59"/>
      </c>
      <c r="B792">
        <f t="shared" si="60"/>
      </c>
    </row>
    <row r="793" spans="1:2" ht="12.75">
      <c r="A793">
        <f t="shared" si="59"/>
      </c>
      <c r="B793">
        <f t="shared" si="60"/>
      </c>
    </row>
    <row r="794" spans="1:2" ht="12.75">
      <c r="A794">
        <f t="shared" si="59"/>
      </c>
      <c r="B794">
        <f t="shared" si="60"/>
      </c>
    </row>
    <row r="795" ht="12.75">
      <c r="B795">
        <f t="shared" si="60"/>
      </c>
    </row>
    <row r="796" ht="12.75">
      <c r="B796">
        <f t="shared" si="60"/>
      </c>
    </row>
    <row r="797" ht="12.75">
      <c r="B797">
        <f t="shared" si="60"/>
      </c>
    </row>
    <row r="798" ht="12.75">
      <c r="B798">
        <f t="shared" si="60"/>
      </c>
    </row>
    <row r="799" ht="12.75">
      <c r="B799">
        <f t="shared" si="60"/>
      </c>
    </row>
    <row r="1079" ht="12.75">
      <c r="C1079" t="s">
        <v>1233</v>
      </c>
    </row>
    <row r="1080" ht="12.75">
      <c r="C1080" t="s">
        <v>1028</v>
      </c>
    </row>
    <row r="1081" ht="12.75">
      <c r="C1081" t="s">
        <v>1030</v>
      </c>
    </row>
    <row r="1082" ht="12.75">
      <c r="C1082" t="s">
        <v>1392</v>
      </c>
    </row>
    <row r="1083" ht="12.75">
      <c r="C1083" t="s">
        <v>1413</v>
      </c>
    </row>
    <row r="1084" ht="12.75">
      <c r="C1084" t="s">
        <v>1017</v>
      </c>
    </row>
    <row r="1085" ht="12.75">
      <c r="C1085" t="s">
        <v>1017</v>
      </c>
    </row>
    <row r="1086" ht="12.75">
      <c r="C1086" t="s">
        <v>1201</v>
      </c>
    </row>
    <row r="1087" ht="12.75">
      <c r="C1087" t="s">
        <v>1179</v>
      </c>
    </row>
    <row r="1088" ht="12.75">
      <c r="C1088" t="s">
        <v>1203</v>
      </c>
    </row>
    <row r="1089" ht="12.75">
      <c r="C1089" t="s">
        <v>1393</v>
      </c>
    </row>
    <row r="1090" ht="12.75">
      <c r="C1090" t="s">
        <v>1394</v>
      </c>
    </row>
    <row r="1091" ht="12.75">
      <c r="C1091" t="s">
        <v>1395</v>
      </c>
    </row>
    <row r="1092" ht="12.75">
      <c r="C1092" t="s">
        <v>1019</v>
      </c>
    </row>
    <row r="1093" ht="12.75">
      <c r="C1093" t="s">
        <v>1396</v>
      </c>
    </row>
    <row r="1094" ht="12.75">
      <c r="C1094" t="s">
        <v>1397</v>
      </c>
    </row>
    <row r="1095" ht="12.75">
      <c r="C1095" t="s">
        <v>1424</v>
      </c>
    </row>
    <row r="1096" ht="12.75">
      <c r="C1096" t="s">
        <v>1022</v>
      </c>
    </row>
    <row r="1097" ht="12.75">
      <c r="C1097" t="s">
        <v>1398</v>
      </c>
    </row>
    <row r="1098" ht="12.75">
      <c r="C1098" t="s">
        <v>1029</v>
      </c>
    </row>
    <row r="1099" ht="12.75">
      <c r="C1099" t="s">
        <v>1005</v>
      </c>
    </row>
    <row r="1100" ht="12.75">
      <c r="C1100" t="s">
        <v>1248</v>
      </c>
    </row>
    <row r="1101" ht="12.75">
      <c r="C1101" t="s">
        <v>1401</v>
      </c>
    </row>
    <row r="1102" ht="12.75">
      <c r="C1102" t="s">
        <v>1386</v>
      </c>
    </row>
    <row r="1103" ht="12.75">
      <c r="C1103" t="s">
        <v>1402</v>
      </c>
    </row>
    <row r="1104" ht="12.75">
      <c r="C1104" t="s">
        <v>1010</v>
      </c>
    </row>
    <row r="1105" ht="12.75">
      <c r="C1105" t="s">
        <v>1011</v>
      </c>
    </row>
    <row r="1106" ht="12.75">
      <c r="C1106" t="s">
        <v>1403</v>
      </c>
    </row>
    <row r="1107" ht="12.75">
      <c r="C1107" t="s">
        <v>1404</v>
      </c>
    </row>
    <row r="1108" ht="12.75">
      <c r="C1108" t="s">
        <v>1177</v>
      </c>
    </row>
    <row r="1109" ht="12.75">
      <c r="C1109" t="s">
        <v>1013</v>
      </c>
    </row>
    <row r="1110" ht="12.75">
      <c r="C1110" t="s">
        <v>1525</v>
      </c>
    </row>
    <row r="1111" ht="12.75">
      <c r="C1111" t="s">
        <v>1198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B2:AJ321"/>
  <sheetViews>
    <sheetView workbookViewId="0" topLeftCell="A67">
      <selection activeCell="I7" sqref="I7:Q40"/>
    </sheetView>
  </sheetViews>
  <sheetFormatPr defaultColWidth="9.140625" defaultRowHeight="12.75"/>
  <cols>
    <col min="1" max="6" width="8.8515625" style="0" customWidth="1"/>
    <col min="7" max="7" width="11.421875" style="0" bestFit="1" customWidth="1"/>
    <col min="8" max="26" width="8.8515625" style="0" customWidth="1"/>
    <col min="27" max="34" width="9.28125" style="0" bestFit="1" customWidth="1"/>
    <col min="35" max="35" width="10.28125" style="0" bestFit="1" customWidth="1"/>
    <col min="36" max="16384" width="8.8515625" style="0" customWidth="1"/>
  </cols>
  <sheetData>
    <row r="2" spans="9:17" ht="12.75">
      <c r="I2" t="str">
        <f>I6&amp;I5</f>
        <v>YRWSTAR1</v>
      </c>
      <c r="J2" t="str">
        <f aca="true" t="shared" si="0" ref="J2:Q2">J6&amp;J5</f>
        <v>CRWSTAR1</v>
      </c>
      <c r="K2" t="str">
        <f t="shared" si="0"/>
        <v>FRWSTAR1</v>
      </c>
      <c r="L2" t="str">
        <f t="shared" si="0"/>
        <v>YRWSTAR2</v>
      </c>
      <c r="M2" t="str">
        <f t="shared" si="0"/>
        <v>CRWSTAR2</v>
      </c>
      <c r="N2" t="str">
        <f t="shared" si="0"/>
        <v>FRWSTAR2</v>
      </c>
      <c r="O2" t="str">
        <f t="shared" si="0"/>
        <v>YRWSTAR3</v>
      </c>
      <c r="P2" t="str">
        <f t="shared" si="0"/>
        <v>CRWSTAR3</v>
      </c>
      <c r="Q2" t="str">
        <f t="shared" si="0"/>
        <v>FRWSTAR3</v>
      </c>
    </row>
    <row r="3" spans="3:17" ht="12.75">
      <c r="C3" s="62" t="s">
        <v>904</v>
      </c>
      <c r="E3" s="62" t="s">
        <v>903</v>
      </c>
      <c r="I3">
        <v>0</v>
      </c>
      <c r="J3">
        <v>1</v>
      </c>
      <c r="K3">
        <v>2</v>
      </c>
      <c r="L3">
        <v>0</v>
      </c>
      <c r="M3">
        <v>1</v>
      </c>
      <c r="N3">
        <v>2</v>
      </c>
      <c r="O3">
        <v>0</v>
      </c>
      <c r="P3">
        <v>1</v>
      </c>
      <c r="Q3">
        <v>2</v>
      </c>
    </row>
    <row r="4" spans="9:17" ht="12.75">
      <c r="I4">
        <v>0</v>
      </c>
      <c r="J4">
        <v>0</v>
      </c>
      <c r="K4">
        <v>0</v>
      </c>
      <c r="L4">
        <v>1</v>
      </c>
      <c r="M4">
        <v>1</v>
      </c>
      <c r="N4">
        <v>1</v>
      </c>
      <c r="O4">
        <v>2</v>
      </c>
      <c r="P4">
        <v>2</v>
      </c>
      <c r="Q4">
        <v>2</v>
      </c>
    </row>
    <row r="5" spans="9:35" ht="12.75">
      <c r="I5" s="32" t="s">
        <v>1170</v>
      </c>
      <c r="J5" s="32" t="s">
        <v>1170</v>
      </c>
      <c r="K5" s="32" t="s">
        <v>1170</v>
      </c>
      <c r="L5" s="32" t="s">
        <v>1171</v>
      </c>
      <c r="M5" s="32" t="s">
        <v>1171</v>
      </c>
      <c r="N5" s="32" t="s">
        <v>1171</v>
      </c>
      <c r="O5" s="32" t="s">
        <v>1172</v>
      </c>
      <c r="P5" s="32" t="s">
        <v>1172</v>
      </c>
      <c r="Q5" s="32" t="s">
        <v>1172</v>
      </c>
      <c r="S5">
        <f>VLOOKUP(SAfx,fx,3,FALSE)</f>
        <v>0.6429</v>
      </c>
      <c r="AA5" t="str">
        <f>I2</f>
        <v>YRWSTAR1</v>
      </c>
      <c r="AB5" t="str">
        <f aca="true" t="shared" si="1" ref="AB5:AI5">J2</f>
        <v>CRWSTAR1</v>
      </c>
      <c r="AC5" t="str">
        <f t="shared" si="1"/>
        <v>FRWSTAR1</v>
      </c>
      <c r="AD5" t="str">
        <f t="shared" si="1"/>
        <v>YRWSTAR2</v>
      </c>
      <c r="AE5" t="str">
        <f t="shared" si="1"/>
        <v>CRWSTAR2</v>
      </c>
      <c r="AF5" t="str">
        <f t="shared" si="1"/>
        <v>FRWSTAR2</v>
      </c>
      <c r="AG5" t="str">
        <f t="shared" si="1"/>
        <v>YRWSTAR3</v>
      </c>
      <c r="AH5" t="str">
        <f t="shared" si="1"/>
        <v>CRWSTAR3</v>
      </c>
      <c r="AI5" t="str">
        <f t="shared" si="1"/>
        <v>FRWSTAR3</v>
      </c>
    </row>
    <row r="6" spans="2:17" ht="12.75">
      <c r="B6" s="33" t="s">
        <v>1017</v>
      </c>
      <c r="C6" s="3" t="str">
        <f ca="1">"("&amp;OFFSET(SATemp!$E$13,MATCH(SAData!$B6,SATemp!$C$10:$C$1239,0)-4,-4)&amp;")"</f>
        <v>(EGP)</v>
      </c>
      <c r="D6" s="60">
        <v>39297</v>
      </c>
      <c r="I6" t="s">
        <v>1164</v>
      </c>
      <c r="J6" t="s">
        <v>1205</v>
      </c>
      <c r="K6" t="s">
        <v>1163</v>
      </c>
      <c r="L6" t="s">
        <v>1164</v>
      </c>
      <c r="M6" t="s">
        <v>1205</v>
      </c>
      <c r="N6" t="s">
        <v>1163</v>
      </c>
      <c r="O6" t="s">
        <v>1164</v>
      </c>
      <c r="P6" t="s">
        <v>1205</v>
      </c>
      <c r="Q6" t="s">
        <v>1163</v>
      </c>
    </row>
    <row r="7" spans="2:36" ht="12.75">
      <c r="B7" s="34" t="s">
        <v>1174</v>
      </c>
      <c r="C7" s="3">
        <v>16245</v>
      </c>
      <c r="D7" s="3">
        <v>40772</v>
      </c>
      <c r="E7" s="3">
        <v>76787</v>
      </c>
      <c r="F7" s="61">
        <v>39563</v>
      </c>
      <c r="G7" t="str">
        <f ca="1">OFFSET($B$6,5*(ROWS(G$7:$L7)-1),0)</f>
        <v>Egypt</v>
      </c>
      <c r="H7" t="str">
        <f ca="1">MID(OFFSET($B$6,5*(ROWS(H$7:$L7)-1),1),2,3)</f>
        <v>EGP</v>
      </c>
      <c r="I7">
        <v>18050</v>
      </c>
      <c r="J7">
        <v>40722</v>
      </c>
      <c r="K7">
        <v>76787</v>
      </c>
      <c r="L7">
        <v>22172</v>
      </c>
      <c r="M7">
        <v>46943</v>
      </c>
      <c r="N7">
        <v>88161</v>
      </c>
      <c r="O7">
        <v>25989</v>
      </c>
      <c r="P7">
        <v>55302</v>
      </c>
      <c r="Q7">
        <v>104039</v>
      </c>
      <c r="S7">
        <f aca="true" t="shared" si="2" ref="S7:S40">VLOOKUP(H7,fx,3,FALSE)</f>
        <v>5.4864</v>
      </c>
      <c r="W7" s="41">
        <f>RANK(X7,$X$7:$X$40)</f>
        <v>12</v>
      </c>
      <c r="X7" s="37">
        <f>HLOOKUP('Star Alliance'!$AV$4,SAData!$AA$5:$AI$39,ROWS($X$7:X7)+2,FALSE)+CODE(LEFT(Y7))/10000</f>
        <v>12191.366097287839</v>
      </c>
      <c r="Y7" t="str">
        <f aca="true" t="shared" si="3" ref="Y7:Y27">PROPER(G7)</f>
        <v>Egypt</v>
      </c>
      <c r="AA7" s="37">
        <f>I7/$S7*$S$5</f>
        <v>2115.1110017497817</v>
      </c>
      <c r="AB7" s="37">
        <f aca="true" t="shared" si="4" ref="AB7:AI22">J7/$S7*$S$5</f>
        <v>4771.831036745408</v>
      </c>
      <c r="AC7" s="37">
        <f t="shared" si="4"/>
        <v>8997.951716972879</v>
      </c>
      <c r="AD7" s="37">
        <f t="shared" si="4"/>
        <v>2598.1297025371828</v>
      </c>
      <c r="AE7" s="37">
        <f t="shared" si="4"/>
        <v>5500.811953193352</v>
      </c>
      <c r="AF7" s="37">
        <f t="shared" si="4"/>
        <v>10330.764599737533</v>
      </c>
      <c r="AG7" s="37">
        <f t="shared" si="4"/>
        <v>3045.4083005249345</v>
      </c>
      <c r="AH7" s="37">
        <f t="shared" si="4"/>
        <v>6480.325131233597</v>
      </c>
      <c r="AI7" s="37">
        <f t="shared" si="4"/>
        <v>12191.359197287838</v>
      </c>
      <c r="AJ7" s="3">
        <f>IF(F7&gt;0,F7,"old")</f>
        <v>39563</v>
      </c>
    </row>
    <row r="8" spans="2:36" ht="12.75">
      <c r="B8" s="34" t="s">
        <v>1175</v>
      </c>
      <c r="C8" s="3">
        <v>19955</v>
      </c>
      <c r="D8" s="3">
        <v>46943</v>
      </c>
      <c r="E8" s="3">
        <v>88161</v>
      </c>
      <c r="F8" s="61">
        <v>39563</v>
      </c>
      <c r="G8" t="str">
        <f ca="1">OFFSET($B$6,5*(ROWS(G$7:$L8)-1),0)</f>
        <v>Tonga</v>
      </c>
      <c r="H8" t="str">
        <f ca="1">MID(OFFSET($B$6,5*(ROWS(H$7:$L8)-1),1),2,3)</f>
        <v>TOP</v>
      </c>
      <c r="I8">
        <v>6214.285714285715</v>
      </c>
      <c r="J8">
        <v>21706.122448979593</v>
      </c>
      <c r="K8">
        <v>29302.04081632653</v>
      </c>
      <c r="L8">
        <v>6773.469387755103</v>
      </c>
      <c r="M8">
        <v>24391.83673469388</v>
      </c>
      <c r="N8">
        <v>32928.57142857143</v>
      </c>
      <c r="O8">
        <v>7820.408163265306</v>
      </c>
      <c r="P8">
        <v>26738.775510204083</v>
      </c>
      <c r="Q8">
        <v>36097.95918367347</v>
      </c>
      <c r="S8">
        <f t="shared" si="2"/>
        <v>2.0747</v>
      </c>
      <c r="W8" s="41">
        <f aca="true" t="shared" si="5" ref="W8:W40">RANK(X8,$X$7:$X$40)</f>
        <v>18</v>
      </c>
      <c r="X8" s="37">
        <f>HLOOKUP('Star Alliance'!$AV$4,SAData!$AA$5:$AI$39,ROWS($X$7:X8)+2,FALSE)+CODE(LEFT(Y8))/10000</f>
        <v>11185.904172489361</v>
      </c>
      <c r="Y8" t="str">
        <f t="shared" si="3"/>
        <v>Tonga</v>
      </c>
      <c r="AA8" s="37">
        <f aca="true" t="shared" si="6" ref="AA8:AA31">I8/$S8*$S$5</f>
        <v>1925.6587871568352</v>
      </c>
      <c r="AB8" s="37">
        <f t="shared" si="4"/>
        <v>6726.209149491002</v>
      </c>
      <c r="AC8" s="37">
        <f t="shared" si="4"/>
        <v>9080.002911657746</v>
      </c>
      <c r="AD8" s="37">
        <f t="shared" si="4"/>
        <v>2098.9364579880253</v>
      </c>
      <c r="AE8" s="37">
        <f t="shared" si="4"/>
        <v>7558.447889687519</v>
      </c>
      <c r="AF8" s="37">
        <f t="shared" si="4"/>
        <v>10203.778171026448</v>
      </c>
      <c r="AG8" s="37">
        <f t="shared" si="4"/>
        <v>2423.357790602625</v>
      </c>
      <c r="AH8" s="37">
        <f t="shared" si="4"/>
        <v>8285.70818697171</v>
      </c>
      <c r="AI8" s="37">
        <f t="shared" si="4"/>
        <v>11185.89577248936</v>
      </c>
      <c r="AJ8" s="3">
        <f aca="true" t="shared" si="7" ref="AJ8:AJ40">IF(F8&gt;0,F8,"old")</f>
        <v>39563</v>
      </c>
    </row>
    <row r="9" spans="2:36" ht="12.75">
      <c r="B9" s="34" t="s">
        <v>1176</v>
      </c>
      <c r="C9" s="3">
        <v>23390</v>
      </c>
      <c r="D9" s="3">
        <v>55302</v>
      </c>
      <c r="E9" s="3">
        <v>104039</v>
      </c>
      <c r="F9" s="61">
        <v>39563</v>
      </c>
      <c r="G9" t="str">
        <f ca="1">OFFSET($B$6,5*(ROWS(G$7:$L9)-1),0)</f>
        <v>Fiji</v>
      </c>
      <c r="H9" t="str">
        <f ca="1">MID(OFFSET($B$6,5*(ROWS(H$7:$L9)-1),1),2,3)</f>
        <v>USD</v>
      </c>
      <c r="I9">
        <v>3214</v>
      </c>
      <c r="J9">
        <v>11226</v>
      </c>
      <c r="K9">
        <v>15155</v>
      </c>
      <c r="L9">
        <v>3503</v>
      </c>
      <c r="M9">
        <v>12615</v>
      </c>
      <c r="N9">
        <v>17030</v>
      </c>
      <c r="O9">
        <v>4044</v>
      </c>
      <c r="P9">
        <v>13829</v>
      </c>
      <c r="Q9">
        <v>18669</v>
      </c>
      <c r="S9">
        <f t="shared" si="2"/>
        <v>1</v>
      </c>
      <c r="W9" s="41">
        <f t="shared" si="5"/>
        <v>13</v>
      </c>
      <c r="X9" s="37">
        <f>HLOOKUP('Star Alliance'!$AV$4,SAData!$AA$5:$AI$39,ROWS($X$7:X9)+2,FALSE)+CODE(LEFT(Y9))/10000</f>
        <v>12002.3071</v>
      </c>
      <c r="Y9" t="str">
        <f t="shared" si="3"/>
        <v>Fiji</v>
      </c>
      <c r="AA9" s="37">
        <f t="shared" si="6"/>
        <v>2066.2806</v>
      </c>
      <c r="AB9" s="37">
        <f t="shared" si="4"/>
        <v>7217.1954000000005</v>
      </c>
      <c r="AC9" s="37">
        <f t="shared" si="4"/>
        <v>9743.1495</v>
      </c>
      <c r="AD9" s="37">
        <f t="shared" si="4"/>
        <v>2252.0787</v>
      </c>
      <c r="AE9" s="37">
        <f t="shared" si="4"/>
        <v>8110.1835</v>
      </c>
      <c r="AF9" s="37">
        <f t="shared" si="4"/>
        <v>10948.587000000001</v>
      </c>
      <c r="AG9" s="37">
        <f t="shared" si="4"/>
        <v>2599.8876</v>
      </c>
      <c r="AH9" s="37">
        <f t="shared" si="4"/>
        <v>8890.6641</v>
      </c>
      <c r="AI9" s="37">
        <f t="shared" si="4"/>
        <v>12002.3001</v>
      </c>
      <c r="AJ9" s="3">
        <f t="shared" si="7"/>
        <v>39563</v>
      </c>
    </row>
    <row r="10" spans="6:36" ht="12.75">
      <c r="F10" s="61">
        <v>39563</v>
      </c>
      <c r="G10" t="str">
        <f ca="1">OFFSET($B$6,5*(ROWS(G$7:$L10)-1),0)</f>
        <v>Thailand</v>
      </c>
      <c r="H10" t="str">
        <f ca="1">MID(OFFSET($B$6,5*(ROWS(H$7:$L10)-1),1),2,3)</f>
        <v>THB</v>
      </c>
      <c r="I10">
        <v>105980</v>
      </c>
      <c r="J10">
        <v>221270</v>
      </c>
      <c r="K10">
        <v>337210</v>
      </c>
      <c r="L10">
        <v>121890</v>
      </c>
      <c r="M10">
        <v>254590</v>
      </c>
      <c r="N10">
        <v>387590</v>
      </c>
      <c r="O10">
        <v>143080</v>
      </c>
      <c r="P10">
        <v>298720</v>
      </c>
      <c r="Q10">
        <v>455030</v>
      </c>
      <c r="S10">
        <f t="shared" si="2"/>
        <v>31.9102</v>
      </c>
      <c r="W10" s="41">
        <f t="shared" si="5"/>
        <v>27</v>
      </c>
      <c r="X10" s="37">
        <f>HLOOKUP('Star Alliance'!$AV$4,SAData!$AA$5:$AI$39,ROWS($X$7:X10)+2,FALSE)+CODE(LEFT(Y10))/10000</f>
        <v>9167.571969015551</v>
      </c>
      <c r="Y10" t="str">
        <f t="shared" si="3"/>
        <v>Thailand</v>
      </c>
      <c r="AA10" s="37">
        <f t="shared" si="6"/>
        <v>2135.196332207257</v>
      </c>
      <c r="AB10" s="37">
        <f t="shared" si="4"/>
        <v>4457.962751722021</v>
      </c>
      <c r="AC10" s="37">
        <f t="shared" si="4"/>
        <v>6793.824827171249</v>
      </c>
      <c r="AD10" s="37">
        <f t="shared" si="4"/>
        <v>2455.7376951570345</v>
      </c>
      <c r="AE10" s="37">
        <f t="shared" si="4"/>
        <v>5129.266222085728</v>
      </c>
      <c r="AF10" s="37">
        <f t="shared" si="4"/>
        <v>7808.838897907252</v>
      </c>
      <c r="AG10" s="37">
        <f t="shared" si="4"/>
        <v>2882.656078620629</v>
      </c>
      <c r="AH10" s="37">
        <f t="shared" si="4"/>
        <v>6018.360524221095</v>
      </c>
      <c r="AI10" s="37">
        <f t="shared" si="4"/>
        <v>9167.56356901555</v>
      </c>
      <c r="AJ10" s="3">
        <f t="shared" si="7"/>
        <v>39563</v>
      </c>
    </row>
    <row r="11" spans="2:36" ht="12.75">
      <c r="B11" s="33" t="s">
        <v>1177</v>
      </c>
      <c r="C11" s="3" t="str">
        <f ca="1">"("&amp;OFFSET(SATemp!$E$13,MATCH(SAData!$B11,SATemp!$C$10:$C$1239,0)-4,-4)&amp;")"</f>
        <v>(TOP)</v>
      </c>
      <c r="F11" s="61">
        <v>39563</v>
      </c>
      <c r="G11" t="str">
        <f ca="1">OFFSET($B$6,5*(ROWS(G$7:$L11)-1),0)</f>
        <v>Taiwan</v>
      </c>
      <c r="H11" t="str">
        <f ca="1">MID(OFFSET($B$6,5*(ROWS(H$7:$L11)-1),1),2,3)</f>
        <v>TWD</v>
      </c>
      <c r="I11">
        <v>98100</v>
      </c>
      <c r="J11">
        <v>210100</v>
      </c>
      <c r="K11">
        <v>297700</v>
      </c>
      <c r="L11">
        <v>118400</v>
      </c>
      <c r="M11">
        <v>241700</v>
      </c>
      <c r="N11">
        <v>342300</v>
      </c>
      <c r="O11">
        <v>138900</v>
      </c>
      <c r="P11">
        <v>283700</v>
      </c>
      <c r="Q11">
        <v>401900</v>
      </c>
      <c r="S11">
        <f t="shared" si="2"/>
        <v>30.4934</v>
      </c>
      <c r="W11" s="41">
        <f t="shared" si="5"/>
        <v>29</v>
      </c>
      <c r="X11" s="37">
        <f>HLOOKUP('Star Alliance'!$AV$4,SAData!$AA$5:$AI$39,ROWS($X$7:X11)+2,FALSE)+CODE(LEFT(Y11))/10000</f>
        <v>8473.366897248585</v>
      </c>
      <c r="Y11" t="str">
        <f t="shared" si="3"/>
        <v>Taiwan</v>
      </c>
      <c r="AA11" s="37">
        <f t="shared" si="6"/>
        <v>2068.266903657841</v>
      </c>
      <c r="AB11" s="37">
        <f t="shared" si="4"/>
        <v>4429.59099346088</v>
      </c>
      <c r="AC11" s="37">
        <f t="shared" si="4"/>
        <v>6276.483763699685</v>
      </c>
      <c r="AD11" s="37">
        <f t="shared" si="4"/>
        <v>2496.256894934642</v>
      </c>
      <c r="AE11" s="37">
        <f t="shared" si="4"/>
        <v>5095.821718798166</v>
      </c>
      <c r="AF11" s="37">
        <f t="shared" si="4"/>
        <v>7216.796749460538</v>
      </c>
      <c r="AG11" s="37">
        <f t="shared" si="4"/>
        <v>2928.4635363718053</v>
      </c>
      <c r="AH11" s="37">
        <f t="shared" si="4"/>
        <v>5981.318252474306</v>
      </c>
      <c r="AI11" s="37">
        <f t="shared" si="4"/>
        <v>8473.358497248584</v>
      </c>
      <c r="AJ11" s="3">
        <f t="shared" si="7"/>
        <v>39563</v>
      </c>
    </row>
    <row r="12" spans="2:36" ht="12.75">
      <c r="B12" s="34" t="s">
        <v>1174</v>
      </c>
      <c r="C12" s="3" t="str">
        <f ca="1">OFFSET(SATemp!E14,MATCH(SAData!$B11,SATemp!$C$10:$C$1239,0)-1,0)</f>
        <v>4700</v>
      </c>
      <c r="D12" s="3" t="str">
        <f ca="1">OFFSET(SATemp!F14,MATCH(SAData!$B11,SATemp!$C$10:$C$1239,0)-1,0)</f>
        <v>11739</v>
      </c>
      <c r="E12" s="3" t="str">
        <f ca="1">OFFSET(SATemp!G14,MATCH(SAData!$B11,SATemp!$C$10:$C$1239,0)-1,0)</f>
        <v>16199</v>
      </c>
      <c r="F12" s="61">
        <v>39563</v>
      </c>
      <c r="G12" t="str">
        <f ca="1">OFFSET($B$6,5*(ROWS(G$7:$L12)-1),0)</f>
        <v>Indonesia</v>
      </c>
      <c r="H12" t="str">
        <f ca="1">MID(OFFSET($B$6,5*(ROWS(H$7:$L12)-1),1),2,3)</f>
        <v>USD</v>
      </c>
      <c r="I12">
        <v>2860.5269000000003</v>
      </c>
      <c r="J12">
        <v>5623.031260000001</v>
      </c>
      <c r="K12">
        <v>7781.543000000001</v>
      </c>
      <c r="L12">
        <v>3286.2937800000004</v>
      </c>
      <c r="M12">
        <v>6494.3571</v>
      </c>
      <c r="N12">
        <v>8989.517460000001</v>
      </c>
      <c r="O12">
        <v>3860.5767200000005</v>
      </c>
      <c r="P12">
        <v>7623.1201200000005</v>
      </c>
      <c r="Q12">
        <v>10563.839440000002</v>
      </c>
      <c r="S12">
        <f t="shared" si="2"/>
        <v>1</v>
      </c>
      <c r="W12" s="41">
        <f t="shared" si="5"/>
        <v>34</v>
      </c>
      <c r="X12" s="37">
        <f>HLOOKUP('Star Alliance'!$AV$4,SAData!$AA$5:$AI$39,ROWS($X$7:X12)+2,FALSE)+CODE(LEFT(Y12))/10000</f>
        <v>6791.4996759760015</v>
      </c>
      <c r="Y12" t="str">
        <f t="shared" si="3"/>
        <v>Indonesia</v>
      </c>
      <c r="AA12" s="37">
        <f t="shared" si="6"/>
        <v>1839.0327440100002</v>
      </c>
      <c r="AB12" s="37">
        <f t="shared" si="4"/>
        <v>3615.0467970540008</v>
      </c>
      <c r="AC12" s="37">
        <f t="shared" si="4"/>
        <v>5002.7539947000005</v>
      </c>
      <c r="AD12" s="37">
        <f t="shared" si="4"/>
        <v>2112.7582711620003</v>
      </c>
      <c r="AE12" s="37">
        <f t="shared" si="4"/>
        <v>4175.22217959</v>
      </c>
      <c r="AF12" s="37">
        <f t="shared" si="4"/>
        <v>5779.360775034001</v>
      </c>
      <c r="AG12" s="37">
        <f t="shared" si="4"/>
        <v>2481.9647732880003</v>
      </c>
      <c r="AH12" s="37">
        <f t="shared" si="4"/>
        <v>4900.903925148001</v>
      </c>
      <c r="AI12" s="37">
        <f t="shared" si="4"/>
        <v>6791.492375976001</v>
      </c>
      <c r="AJ12" s="3">
        <f t="shared" si="7"/>
        <v>39563</v>
      </c>
    </row>
    <row r="13" spans="2:36" ht="12.75">
      <c r="B13" s="34" t="s">
        <v>1175</v>
      </c>
      <c r="C13" s="3" t="str">
        <f ca="1">OFFSET(SATemp!E15,MATCH(SAData!$B11,SATemp!$C$10:$C$1239,0)-1,0)</f>
        <v>5409</v>
      </c>
      <c r="D13" s="3" t="str">
        <f ca="1">OFFSET(SATemp!F15,MATCH(SAData!$B11,SATemp!$C$10:$C$1239,0)-1,0)</f>
        <v>13500</v>
      </c>
      <c r="E13" s="3" t="str">
        <f ca="1">OFFSET(SATemp!G15,MATCH(SAData!$B11,SATemp!$C$10:$C$1239,0)-1,0)</f>
        <v>18629</v>
      </c>
      <c r="F13" s="61">
        <v>39563</v>
      </c>
      <c r="G13" t="str">
        <f ca="1">OFFSET($B$6,5*(ROWS(G$7:$L13)-1),0)</f>
        <v>Turkey</v>
      </c>
      <c r="H13" t="str">
        <f ca="1">MID(OFFSET($B$6,5*(ROWS(H$7:$L13)-1),1),2,3)</f>
        <v>EUR</v>
      </c>
      <c r="I13">
        <v>2565.5454661721446</v>
      </c>
      <c r="J13">
        <v>5773.756234812636</v>
      </c>
      <c r="K13">
        <v>10244.276761734236</v>
      </c>
      <c r="L13">
        <v>3105.2564266530244</v>
      </c>
      <c r="M13">
        <v>6679.882337894871</v>
      </c>
      <c r="N13">
        <v>11761.73423711472</v>
      </c>
      <c r="O13">
        <v>3634.735899731423</v>
      </c>
      <c r="P13">
        <v>7891.674127126231</v>
      </c>
      <c r="Q13">
        <v>13880.29159739097</v>
      </c>
      <c r="S13">
        <f t="shared" si="2"/>
        <v>0.6429</v>
      </c>
      <c r="W13" s="41">
        <f t="shared" si="5"/>
        <v>4</v>
      </c>
      <c r="X13" s="37">
        <f>HLOOKUP('Star Alliance'!$AV$4,SAData!$AA$5:$AI$39,ROWS($X$7:X13)+2,FALSE)+CODE(LEFT(Y13))/10000</f>
        <v>13880.29999739097</v>
      </c>
      <c r="Y13" t="str">
        <f t="shared" si="3"/>
        <v>Turkey</v>
      </c>
      <c r="AA13" s="37">
        <f t="shared" si="6"/>
        <v>2565.5454661721446</v>
      </c>
      <c r="AB13" s="37">
        <f t="shared" si="4"/>
        <v>5773.756234812636</v>
      </c>
      <c r="AC13" s="37">
        <f t="shared" si="4"/>
        <v>10244.276761734236</v>
      </c>
      <c r="AD13" s="37">
        <f t="shared" si="4"/>
        <v>3105.2564266530244</v>
      </c>
      <c r="AE13" s="37">
        <f t="shared" si="4"/>
        <v>6679.882337894871</v>
      </c>
      <c r="AF13" s="37">
        <f t="shared" si="4"/>
        <v>11761.73423711472</v>
      </c>
      <c r="AG13" s="37">
        <f t="shared" si="4"/>
        <v>3634.735899731423</v>
      </c>
      <c r="AH13" s="37">
        <f t="shared" si="4"/>
        <v>7891.674127126232</v>
      </c>
      <c r="AI13" s="37">
        <f t="shared" si="4"/>
        <v>13880.29159739097</v>
      </c>
      <c r="AJ13" s="3">
        <f t="shared" si="7"/>
        <v>39563</v>
      </c>
    </row>
    <row r="14" spans="2:36" ht="12.75">
      <c r="B14" s="34" t="s">
        <v>1176</v>
      </c>
      <c r="C14" s="3" t="str">
        <f ca="1">OFFSET(SATemp!E16,MATCH(SAData!$B11,SATemp!$C$10:$C$1239,0)-1,0)</f>
        <v>6109</v>
      </c>
      <c r="D14" s="3" t="str">
        <f ca="1">OFFSET(SATemp!F16,MATCH(SAData!$B11,SATemp!$C$10:$C$1239,0)-1,0)</f>
        <v>15529</v>
      </c>
      <c r="E14" s="3" t="str">
        <f ca="1">OFFSET(SATemp!G16,MATCH(SAData!$B11,SATemp!$C$10:$C$1239,0)-1,0)</f>
        <v>21429</v>
      </c>
      <c r="F14" s="61">
        <v>39563</v>
      </c>
      <c r="G14" t="str">
        <f ca="1">OFFSET($B$6,5*(ROWS(G$7:$L14)-1),0)</f>
        <v>Korea</v>
      </c>
      <c r="H14" t="str">
        <f ca="1">MID(OFFSET($B$6,5*(ROWS(H$7:$L14)-1),1),2,3)</f>
        <v>KRW</v>
      </c>
      <c r="I14">
        <v>3198500</v>
      </c>
      <c r="J14">
        <v>5686200</v>
      </c>
      <c r="K14">
        <v>8881400</v>
      </c>
      <c r="L14">
        <v>3678200</v>
      </c>
      <c r="M14">
        <v>6539200</v>
      </c>
      <c r="N14">
        <v>10213800</v>
      </c>
      <c r="O14">
        <v>4317900</v>
      </c>
      <c r="P14">
        <v>7676500</v>
      </c>
      <c r="Q14">
        <v>11990000</v>
      </c>
      <c r="S14">
        <f t="shared" si="2"/>
        <v>1011.22</v>
      </c>
      <c r="W14" s="41">
        <f t="shared" si="5"/>
        <v>32</v>
      </c>
      <c r="X14" s="37">
        <f>HLOOKUP('Star Alliance'!$AV$4,SAData!$AA$5:$AI$39,ROWS($X$7:X14)+2,FALSE)+CODE(LEFT(Y14))/10000</f>
        <v>7622.850204851566</v>
      </c>
      <c r="Y14" t="str">
        <f t="shared" si="3"/>
        <v>Korea</v>
      </c>
      <c r="AA14" s="37">
        <f t="shared" si="6"/>
        <v>2033.4997824410118</v>
      </c>
      <c r="AB14" s="37">
        <f t="shared" si="4"/>
        <v>3615.09659619074</v>
      </c>
      <c r="AC14" s="37">
        <f t="shared" si="4"/>
        <v>5646.4983485295</v>
      </c>
      <c r="AD14" s="37">
        <f t="shared" si="4"/>
        <v>2338.4770673048397</v>
      </c>
      <c r="AE14" s="37">
        <f t="shared" si="4"/>
        <v>4157.405589288186</v>
      </c>
      <c r="AF14" s="37">
        <f t="shared" si="4"/>
        <v>6493.593896481478</v>
      </c>
      <c r="AG14" s="37">
        <f t="shared" si="4"/>
        <v>2745.177023793042</v>
      </c>
      <c r="AH14" s="37">
        <f t="shared" si="4"/>
        <v>4880.463054528194</v>
      </c>
      <c r="AI14" s="37">
        <f t="shared" si="4"/>
        <v>7622.842704851566</v>
      </c>
      <c r="AJ14" s="3">
        <f t="shared" si="7"/>
        <v>39563</v>
      </c>
    </row>
    <row r="15" spans="6:36" ht="12.75">
      <c r="F15" s="61">
        <v>39563</v>
      </c>
      <c r="G15" t="str">
        <f ca="1">OFFSET($B$6,5*(ROWS(G$7:$L15)-1),0)</f>
        <v>Sri Lanka</v>
      </c>
      <c r="H15" t="str">
        <f ca="1">MID(OFFSET($B$6,5*(ROWS(H$7:$L15)-1),1),2,3)</f>
        <v>USD</v>
      </c>
      <c r="I15">
        <v>3112</v>
      </c>
      <c r="J15">
        <v>6176</v>
      </c>
      <c r="K15">
        <v>10551</v>
      </c>
      <c r="L15">
        <v>3576</v>
      </c>
      <c r="M15">
        <v>7111</v>
      </c>
      <c r="N15">
        <v>12135</v>
      </c>
      <c r="O15">
        <v>4199</v>
      </c>
      <c r="P15">
        <v>8340</v>
      </c>
      <c r="Q15">
        <v>14243</v>
      </c>
      <c r="S15">
        <f t="shared" si="2"/>
        <v>1</v>
      </c>
      <c r="W15" s="41">
        <f t="shared" si="5"/>
        <v>28</v>
      </c>
      <c r="X15" s="37">
        <f>HLOOKUP('Star Alliance'!$AV$4,SAData!$AA$5:$AI$39,ROWS($X$7:X15)+2,FALSE)+CODE(LEFT(Y15))/10000</f>
        <v>9156.833</v>
      </c>
      <c r="Y15" t="str">
        <f t="shared" si="3"/>
        <v>Sri Lanka</v>
      </c>
      <c r="AA15" s="37">
        <f t="shared" si="6"/>
        <v>2000.7048</v>
      </c>
      <c r="AB15" s="37">
        <f t="shared" si="4"/>
        <v>3970.5504</v>
      </c>
      <c r="AC15" s="37">
        <f t="shared" si="4"/>
        <v>6783.2379</v>
      </c>
      <c r="AD15" s="37">
        <f t="shared" si="4"/>
        <v>2299.0104</v>
      </c>
      <c r="AE15" s="37">
        <f t="shared" si="4"/>
        <v>4571.6619</v>
      </c>
      <c r="AF15" s="37">
        <f t="shared" si="4"/>
        <v>7801.5915</v>
      </c>
      <c r="AG15" s="37">
        <f t="shared" si="4"/>
        <v>2699.5371</v>
      </c>
      <c r="AH15" s="37">
        <f t="shared" si="4"/>
        <v>5361.786</v>
      </c>
      <c r="AI15" s="37">
        <f t="shared" si="4"/>
        <v>9156.824700000001</v>
      </c>
      <c r="AJ15" s="3">
        <f t="shared" si="7"/>
        <v>39563</v>
      </c>
    </row>
    <row r="16" spans="2:36" ht="12.75">
      <c r="B16" s="33" t="s">
        <v>1179</v>
      </c>
      <c r="C16" s="3" t="s">
        <v>1183</v>
      </c>
      <c r="D16" s="45">
        <v>39297</v>
      </c>
      <c r="F16" s="61">
        <v>39563</v>
      </c>
      <c r="G16" t="str">
        <f ca="1">OFFSET($B$6,5*(ROWS(G$7:$L16)-1),0)</f>
        <v>Malaysia</v>
      </c>
      <c r="H16" t="str">
        <f ca="1">MID(OFFSET($B$6,5*(ROWS(H$7:$L16)-1),1),2,3)</f>
        <v>MYR</v>
      </c>
      <c r="I16">
        <v>11990</v>
      </c>
      <c r="J16">
        <v>26380</v>
      </c>
      <c r="K16">
        <v>39190</v>
      </c>
      <c r="L16">
        <v>13910</v>
      </c>
      <c r="M16">
        <v>30400</v>
      </c>
      <c r="N16">
        <v>45220</v>
      </c>
      <c r="O16">
        <v>16080</v>
      </c>
      <c r="P16">
        <v>35930</v>
      </c>
      <c r="Q16">
        <v>53010</v>
      </c>
      <c r="S16">
        <f t="shared" si="2"/>
        <v>3.1831</v>
      </c>
      <c r="W16" s="41">
        <f t="shared" si="5"/>
        <v>21</v>
      </c>
      <c r="X16" s="37">
        <f>HLOOKUP('Star Alliance'!$AV$4,SAData!$AA$5:$AI$39,ROWS($X$7:X16)+2,FALSE)+CODE(LEFT(Y16))/10000</f>
        <v>10706.592161688292</v>
      </c>
      <c r="Y16" t="str">
        <f t="shared" si="3"/>
        <v>Malaysia</v>
      </c>
      <c r="AA16" s="37">
        <f t="shared" si="6"/>
        <v>2421.655304577299</v>
      </c>
      <c r="AB16" s="37">
        <f t="shared" si="4"/>
        <v>5328.04561590902</v>
      </c>
      <c r="AC16" s="37">
        <f t="shared" si="4"/>
        <v>7915.318714460746</v>
      </c>
      <c r="AD16" s="37">
        <f t="shared" si="4"/>
        <v>2809.443309980836</v>
      </c>
      <c r="AE16" s="37">
        <f t="shared" si="4"/>
        <v>6139.976752222676</v>
      </c>
      <c r="AF16" s="37">
        <f t="shared" si="4"/>
        <v>9133.215418931231</v>
      </c>
      <c r="AG16" s="37">
        <f t="shared" si="4"/>
        <v>3247.7245452546263</v>
      </c>
      <c r="AH16" s="37">
        <f t="shared" si="4"/>
        <v>7256.886996952656</v>
      </c>
      <c r="AI16" s="37">
        <f t="shared" si="4"/>
        <v>10706.584461688291</v>
      </c>
      <c r="AJ16" s="3">
        <f t="shared" si="7"/>
        <v>39563</v>
      </c>
    </row>
    <row r="17" spans="2:36" ht="12.75">
      <c r="B17" s="34" t="s">
        <v>1174</v>
      </c>
      <c r="C17" s="3">
        <v>2543</v>
      </c>
      <c r="D17" s="3">
        <v>8308</v>
      </c>
      <c r="E17" s="3">
        <v>10772</v>
      </c>
      <c r="F17" s="61">
        <v>39563</v>
      </c>
      <c r="G17" t="str">
        <f ca="1">OFFSET($B$6,5*(ROWS(G$7:$L17)-1),0)</f>
        <v>India</v>
      </c>
      <c r="H17" t="str">
        <f ca="1">MID(OFFSET($B$6,5*(ROWS(H$7:$L17)-1),1),2,3)</f>
        <v>INR</v>
      </c>
      <c r="I17">
        <v>132080</v>
      </c>
      <c r="J17">
        <v>262200</v>
      </c>
      <c r="K17">
        <v>447930</v>
      </c>
      <c r="L17">
        <v>151800</v>
      </c>
      <c r="M17">
        <v>301880</v>
      </c>
      <c r="N17">
        <v>515200</v>
      </c>
      <c r="O17">
        <v>178250</v>
      </c>
      <c r="P17">
        <v>354090</v>
      </c>
      <c r="Q17">
        <v>604670</v>
      </c>
      <c r="S17">
        <f t="shared" si="2"/>
        <v>40.51</v>
      </c>
      <c r="W17" s="41">
        <f t="shared" si="5"/>
        <v>25</v>
      </c>
      <c r="X17" s="37">
        <f>HLOOKUP('Star Alliance'!$AV$4,SAData!$AA$5:$AI$39,ROWS($X$7:X17)+2,FALSE)+CODE(LEFT(Y17))/10000</f>
        <v>9596.214236558875</v>
      </c>
      <c r="Y17" t="str">
        <f t="shared" si="3"/>
        <v>India</v>
      </c>
      <c r="AA17" s="37">
        <f t="shared" si="6"/>
        <v>2096.1301407059987</v>
      </c>
      <c r="AB17" s="37">
        <f t="shared" si="4"/>
        <v>4161.154776598371</v>
      </c>
      <c r="AC17" s="37">
        <f t="shared" si="4"/>
        <v>7108.718760799804</v>
      </c>
      <c r="AD17" s="37">
        <f t="shared" si="4"/>
        <v>2409.08960750432</v>
      </c>
      <c r="AE17" s="37">
        <f t="shared" si="4"/>
        <v>4790.882547519132</v>
      </c>
      <c r="AF17" s="37">
        <f t="shared" si="4"/>
        <v>8176.304122438905</v>
      </c>
      <c r="AG17" s="37">
        <f t="shared" si="4"/>
        <v>2828.8552209331033</v>
      </c>
      <c r="AH17" s="37">
        <f t="shared" si="4"/>
        <v>5619.4633670698595</v>
      </c>
      <c r="AI17" s="37">
        <f t="shared" si="4"/>
        <v>9596.206936558876</v>
      </c>
      <c r="AJ17" s="3">
        <f t="shared" si="7"/>
        <v>39563</v>
      </c>
    </row>
    <row r="18" spans="2:36" ht="12.75">
      <c r="B18" s="34" t="s">
        <v>1175</v>
      </c>
      <c r="C18" s="3">
        <v>2750</v>
      </c>
      <c r="D18" s="3">
        <v>9464</v>
      </c>
      <c r="E18" s="3">
        <v>12449</v>
      </c>
      <c r="F18" s="61">
        <v>39563</v>
      </c>
      <c r="G18" t="str">
        <f ca="1">OFFSET($B$6,5*(ROWS(G$7:$L18)-1),0)</f>
        <v>Sweden</v>
      </c>
      <c r="H18" t="str">
        <f ca="1">MID(OFFSET($B$6,5*(ROWS(H$7:$L18)-1),1),2,3)</f>
        <v>SEK</v>
      </c>
      <c r="I18">
        <v>21360</v>
      </c>
      <c r="J18">
        <v>47370</v>
      </c>
      <c r="K18">
        <v>94430</v>
      </c>
      <c r="L18">
        <v>26050</v>
      </c>
      <c r="M18">
        <v>54660</v>
      </c>
      <c r="N18">
        <v>108420</v>
      </c>
      <c r="O18">
        <v>30530</v>
      </c>
      <c r="P18">
        <v>64390</v>
      </c>
      <c r="Q18">
        <v>127950</v>
      </c>
      <c r="S18">
        <f t="shared" si="2"/>
        <v>6.0283</v>
      </c>
      <c r="W18" s="41">
        <f t="shared" si="5"/>
        <v>6</v>
      </c>
      <c r="X18" s="37">
        <f>HLOOKUP('Star Alliance'!$AV$4,SAData!$AA$5:$AI$39,ROWS($X$7:X18)+2,FALSE)+CODE(LEFT(Y18))/10000</f>
        <v>13645.48961313969</v>
      </c>
      <c r="Y18" t="str">
        <f t="shared" si="3"/>
        <v>Sweden</v>
      </c>
      <c r="AA18" s="37">
        <f t="shared" si="6"/>
        <v>2277.9795298840468</v>
      </c>
      <c r="AB18" s="37">
        <f t="shared" si="4"/>
        <v>5051.867524841166</v>
      </c>
      <c r="AC18" s="37">
        <f t="shared" si="4"/>
        <v>10070.674485344127</v>
      </c>
      <c r="AD18" s="37">
        <f t="shared" si="4"/>
        <v>2778.1538742265648</v>
      </c>
      <c r="AE18" s="37">
        <f t="shared" si="4"/>
        <v>5829.32402169766</v>
      </c>
      <c r="AF18" s="37">
        <f t="shared" si="4"/>
        <v>11562.66575983279</v>
      </c>
      <c r="AG18" s="37">
        <f t="shared" si="4"/>
        <v>3255.9323524044926</v>
      </c>
      <c r="AH18" s="37">
        <f t="shared" si="4"/>
        <v>6866.999153990346</v>
      </c>
      <c r="AI18" s="37">
        <f t="shared" si="4"/>
        <v>13645.481313139691</v>
      </c>
      <c r="AJ18" s="3">
        <f t="shared" si="7"/>
        <v>39563</v>
      </c>
    </row>
    <row r="19" spans="2:36" ht="12.75">
      <c r="B19" s="34" t="s">
        <v>1176</v>
      </c>
      <c r="C19" s="3">
        <v>3155</v>
      </c>
      <c r="D19" s="3">
        <v>10472</v>
      </c>
      <c r="E19" s="3">
        <v>13973</v>
      </c>
      <c r="F19" s="61">
        <v>39563</v>
      </c>
      <c r="G19" t="str">
        <f ca="1">OFFSET($B$6,5*(ROWS(G$7:$L19)-1),0)</f>
        <v>China</v>
      </c>
      <c r="H19" t="str">
        <f ca="1">MID(OFFSET($B$6,5*(ROWS(H$7:$L19)-1),1),2,3)</f>
        <v>CNY</v>
      </c>
      <c r="I19">
        <v>26610</v>
      </c>
      <c r="J19">
        <v>52780</v>
      </c>
      <c r="K19">
        <v>81280</v>
      </c>
      <c r="L19">
        <v>30600</v>
      </c>
      <c r="M19">
        <v>60710</v>
      </c>
      <c r="N19">
        <v>93460</v>
      </c>
      <c r="O19">
        <v>35930</v>
      </c>
      <c r="P19">
        <v>71270</v>
      </c>
      <c r="Q19">
        <v>109730</v>
      </c>
      <c r="S19">
        <f t="shared" si="2"/>
        <v>6.9985</v>
      </c>
      <c r="W19" s="41">
        <f t="shared" si="5"/>
        <v>22</v>
      </c>
      <c r="X19" s="37">
        <f>HLOOKUP('Star Alliance'!$AV$4,SAData!$AA$5:$AI$39,ROWS($X$7:X19)+2,FALSE)+CODE(LEFT(Y19))/10000</f>
        <v>10080.083430728015</v>
      </c>
      <c r="Y19" t="str">
        <f t="shared" si="3"/>
        <v>China</v>
      </c>
      <c r="AA19" s="37">
        <f t="shared" si="6"/>
        <v>2444.4622419089806</v>
      </c>
      <c r="AB19" s="37">
        <f t="shared" si="4"/>
        <v>4848.504965349718</v>
      </c>
      <c r="AC19" s="37">
        <f t="shared" si="4"/>
        <v>7466.587411588198</v>
      </c>
      <c r="AD19" s="37">
        <f t="shared" si="4"/>
        <v>2810.9937843823677</v>
      </c>
      <c r="AE19" s="37">
        <f t="shared" si="4"/>
        <v>5576.9749231978285</v>
      </c>
      <c r="AF19" s="37">
        <f t="shared" si="4"/>
        <v>8585.473172822749</v>
      </c>
      <c r="AG19" s="37">
        <f t="shared" si="4"/>
        <v>3300.6211330999504</v>
      </c>
      <c r="AH19" s="37">
        <f t="shared" si="4"/>
        <v>6547.043366435665</v>
      </c>
      <c r="AI19" s="37">
        <f t="shared" si="4"/>
        <v>10080.076730728015</v>
      </c>
      <c r="AJ19" s="3">
        <f t="shared" si="7"/>
        <v>39563</v>
      </c>
    </row>
    <row r="20" spans="6:36" ht="12.75">
      <c r="F20" s="61">
        <v>39563</v>
      </c>
      <c r="G20" t="str">
        <f ca="1">OFFSET($B$6,5*(ROWS(G$7:$L20)-1),0)</f>
        <v>Hong Kong</v>
      </c>
      <c r="H20" t="str">
        <f ca="1">MID(OFFSET($B$6,5*(ROWS(H$7:$L20)-1),1),2,3)</f>
        <v>HKD</v>
      </c>
      <c r="I20">
        <v>23180</v>
      </c>
      <c r="J20">
        <v>49680</v>
      </c>
      <c r="K20">
        <v>70400</v>
      </c>
      <c r="L20">
        <v>27990</v>
      </c>
      <c r="M20">
        <v>57150</v>
      </c>
      <c r="N20">
        <v>80950</v>
      </c>
      <c r="O20">
        <v>32850</v>
      </c>
      <c r="P20">
        <v>67090</v>
      </c>
      <c r="Q20">
        <v>95040</v>
      </c>
      <c r="S20">
        <f t="shared" si="2"/>
        <v>7.7934</v>
      </c>
      <c r="W20" s="41">
        <f t="shared" si="5"/>
        <v>31</v>
      </c>
      <c r="X20" s="37">
        <f>HLOOKUP('Star Alliance'!$AV$4,SAData!$AA$5:$AI$39,ROWS($X$7:X20)+2,FALSE)+CODE(LEFT(Y20))/10000</f>
        <v>7840.130381153283</v>
      </c>
      <c r="Y20" t="str">
        <f t="shared" si="3"/>
        <v>Hong Kong</v>
      </c>
      <c r="AA20" s="37">
        <f t="shared" si="6"/>
        <v>1912.184925706367</v>
      </c>
      <c r="AB20" s="37">
        <f t="shared" si="4"/>
        <v>4098.246208330126</v>
      </c>
      <c r="AC20" s="37">
        <f t="shared" si="4"/>
        <v>5807.4986527061355</v>
      </c>
      <c r="AD20" s="37">
        <f t="shared" si="4"/>
        <v>2308.9756717222267</v>
      </c>
      <c r="AE20" s="37">
        <f t="shared" si="4"/>
        <v>4714.468011394257</v>
      </c>
      <c r="AF20" s="37">
        <f t="shared" si="4"/>
        <v>6677.79852182616</v>
      </c>
      <c r="AG20" s="37">
        <f t="shared" si="4"/>
        <v>2709.891061667565</v>
      </c>
      <c r="AH20" s="37">
        <f t="shared" si="4"/>
        <v>5534.44722457464</v>
      </c>
      <c r="AI20" s="37">
        <f t="shared" si="4"/>
        <v>7840.123181153283</v>
      </c>
      <c r="AJ20" s="3">
        <f t="shared" si="7"/>
        <v>39563</v>
      </c>
    </row>
    <row r="21" spans="2:36" ht="12.75">
      <c r="B21" s="33" t="s">
        <v>1404</v>
      </c>
      <c r="C21" s="3" t="str">
        <f ca="1">"("&amp;OFFSET(SATemp!$E$13,MATCH(SAData!$B21,SATemp!$C$10:$C$1239,0)-4,-4)&amp;")"</f>
        <v>(THB)</v>
      </c>
      <c r="D21" s="45">
        <v>39297</v>
      </c>
      <c r="F21" s="61">
        <v>39563</v>
      </c>
      <c r="G21" t="str">
        <f ca="1">OFFSET($B$6,5*(ROWS(G$7:$L21)-1),0)</f>
        <v>Denmark</v>
      </c>
      <c r="H21" t="str">
        <f ca="1">MID(OFFSET($B$6,5*(ROWS(H$7:$L21)-1),1),2,3)</f>
        <v>DKK</v>
      </c>
      <c r="I21">
        <v>17490</v>
      </c>
      <c r="J21">
        <v>38660</v>
      </c>
      <c r="K21">
        <v>74930</v>
      </c>
      <c r="L21">
        <v>21330</v>
      </c>
      <c r="M21">
        <v>44610</v>
      </c>
      <c r="N21">
        <v>86030</v>
      </c>
      <c r="O21">
        <v>24990</v>
      </c>
      <c r="P21">
        <v>52560</v>
      </c>
      <c r="Q21">
        <v>101520</v>
      </c>
      <c r="S21">
        <f t="shared" si="2"/>
        <v>4.8109</v>
      </c>
      <c r="W21" s="41">
        <f t="shared" si="5"/>
        <v>9</v>
      </c>
      <c r="X21" s="37">
        <f>HLOOKUP('Star Alliance'!$AV$4,SAData!$AA$5:$AI$39,ROWS($X$7:X21)+2,FALSE)+CODE(LEFT(Y21))/10000</f>
        <v>13566.534476734081</v>
      </c>
      <c r="Y21" t="str">
        <f t="shared" si="3"/>
        <v>Denmark</v>
      </c>
      <c r="AA21" s="37">
        <f t="shared" si="6"/>
        <v>2337.2593485626394</v>
      </c>
      <c r="AB21" s="37">
        <f t="shared" si="4"/>
        <v>5166.291962002952</v>
      </c>
      <c r="AC21" s="37">
        <f t="shared" si="4"/>
        <v>10013.198569914153</v>
      </c>
      <c r="AD21" s="37">
        <f t="shared" si="4"/>
        <v>2850.414059739342</v>
      </c>
      <c r="AE21" s="37">
        <f t="shared" si="4"/>
        <v>5961.414496248103</v>
      </c>
      <c r="AF21" s="37">
        <f t="shared" si="4"/>
        <v>11496.53640690931</v>
      </c>
      <c r="AG21" s="37">
        <f t="shared" si="4"/>
        <v>3339.5146438296365</v>
      </c>
      <c r="AH21" s="37">
        <f t="shared" si="4"/>
        <v>7023.805109231121</v>
      </c>
      <c r="AI21" s="37">
        <f t="shared" si="4"/>
        <v>13566.527676734082</v>
      </c>
      <c r="AJ21" s="3">
        <f t="shared" si="7"/>
        <v>39563</v>
      </c>
    </row>
    <row r="22" spans="2:36" ht="12.75">
      <c r="B22" s="34" t="s">
        <v>1174</v>
      </c>
      <c r="C22" s="3">
        <v>105980</v>
      </c>
      <c r="D22" s="3">
        <v>221270</v>
      </c>
      <c r="E22" s="3">
        <v>337210</v>
      </c>
      <c r="F22" s="61">
        <v>39563</v>
      </c>
      <c r="G22" t="str">
        <f ca="1">OFFSET($B$6,5*(ROWS(G$7:$L22)-1),0)</f>
        <v>Latvia</v>
      </c>
      <c r="H22" t="str">
        <f ca="1">MID(OFFSET($B$6,5*(ROWS(H$7:$L22)-1),1),2,3)</f>
        <v>LVL</v>
      </c>
      <c r="I22">
        <v>1707.795100222717</v>
      </c>
      <c r="J22">
        <v>3779.5100222717147</v>
      </c>
      <c r="K22">
        <v>7154.5657015590195</v>
      </c>
      <c r="L22">
        <v>2011.1358574610244</v>
      </c>
      <c r="M22">
        <v>4365.256124721604</v>
      </c>
      <c r="N22">
        <v>8205.34521158129</v>
      </c>
      <c r="O22">
        <v>2354.56570155902</v>
      </c>
      <c r="P22">
        <v>5133.630289532293</v>
      </c>
      <c r="Q22">
        <v>9680.623608017817</v>
      </c>
      <c r="S22">
        <f t="shared" si="2"/>
        <v>0.4512</v>
      </c>
      <c r="W22" s="41">
        <f t="shared" si="5"/>
        <v>5</v>
      </c>
      <c r="X22" s="37">
        <f>HLOOKUP('Star Alliance'!$AV$4,SAData!$AA$5:$AI$39,ROWS($X$7:X22)+2,FALSE)+CODE(LEFT(Y22))/10000</f>
        <v>13793.60892445624</v>
      </c>
      <c r="Y22" t="str">
        <f t="shared" si="3"/>
        <v>Latvia</v>
      </c>
      <c r="AA22" s="37">
        <f t="shared" si="6"/>
        <v>2433.3809174051084</v>
      </c>
      <c r="AB22" s="37">
        <f t="shared" si="4"/>
        <v>5385.299187319339</v>
      </c>
      <c r="AC22" s="37">
        <f t="shared" si="4"/>
        <v>10194.304719708098</v>
      </c>
      <c r="AD22" s="37">
        <f t="shared" si="4"/>
        <v>2865.6011586030427</v>
      </c>
      <c r="AE22" s="37">
        <f t="shared" si="4"/>
        <v>6219.909491541488</v>
      </c>
      <c r="AF22" s="37">
        <f t="shared" si="4"/>
        <v>11691.525790172012</v>
      </c>
      <c r="AG22" s="37">
        <f t="shared" si="4"/>
        <v>3354.943017580439</v>
      </c>
      <c r="AH22" s="37">
        <f t="shared" si="4"/>
        <v>7314.740498981188</v>
      </c>
      <c r="AI22" s="37">
        <f t="shared" si="4"/>
        <v>13793.60132445624</v>
      </c>
      <c r="AJ22" s="3">
        <f t="shared" si="7"/>
        <v>39563</v>
      </c>
    </row>
    <row r="23" spans="2:36" ht="12.75">
      <c r="B23" s="34" t="s">
        <v>1175</v>
      </c>
      <c r="C23" s="3">
        <v>121890</v>
      </c>
      <c r="D23" s="3">
        <v>254590</v>
      </c>
      <c r="E23" s="3">
        <v>387590</v>
      </c>
      <c r="F23" s="61">
        <v>39563</v>
      </c>
      <c r="G23" t="str">
        <f ca="1">OFFSET($B$6,5*(ROWS(G$7:$L23)-1),0)</f>
        <v>Singapore</v>
      </c>
      <c r="H23" t="str">
        <f ca="1">MID(OFFSET($B$6,5*(ROWS(H$7:$L23)-1),1),2,3)</f>
        <v>SGD</v>
      </c>
      <c r="I23">
        <v>5250</v>
      </c>
      <c r="J23">
        <v>11550</v>
      </c>
      <c r="K23">
        <v>17160</v>
      </c>
      <c r="L23">
        <v>6090</v>
      </c>
      <c r="M23">
        <v>13310</v>
      </c>
      <c r="N23">
        <v>19800</v>
      </c>
      <c r="O23">
        <v>7040</v>
      </c>
      <c r="P23">
        <v>15730</v>
      </c>
      <c r="Q23">
        <v>23210</v>
      </c>
      <c r="S23">
        <f t="shared" si="2"/>
        <v>1.3587</v>
      </c>
      <c r="W23" s="41">
        <f t="shared" si="5"/>
        <v>20</v>
      </c>
      <c r="X23" s="37">
        <f>HLOOKUP('Star Alliance'!$AV$4,SAData!$AA$5:$AI$39,ROWS($X$7:X23)+2,FALSE)+CODE(LEFT(Y23))/10000</f>
        <v>10982.350980503423</v>
      </c>
      <c r="Y23" t="str">
        <f t="shared" si="3"/>
        <v>Singapore</v>
      </c>
      <c r="AA23" s="37">
        <f t="shared" si="6"/>
        <v>2484.157650695518</v>
      </c>
      <c r="AB23" s="37">
        <f aca="true" t="shared" si="8" ref="AB23:AB31">J23/$S23*$S$5</f>
        <v>5465.14683153014</v>
      </c>
      <c r="AC23" s="37">
        <f aca="true" t="shared" si="9" ref="AC23:AC31">K23/$S23*$S$5</f>
        <v>8119.646721130493</v>
      </c>
      <c r="AD23" s="37">
        <f aca="true" t="shared" si="10" ref="AD23:AD31">L23/$S23*$S$5</f>
        <v>2881.6228748068006</v>
      </c>
      <c r="AE23" s="37">
        <f aca="true" t="shared" si="11" ref="AE23:AE31">M23/$S23*$S$5</f>
        <v>6297.931110620446</v>
      </c>
      <c r="AF23" s="37">
        <f aca="true" t="shared" si="12" ref="AF23:AF31">N23/$S23*$S$5</f>
        <v>9368.823139765953</v>
      </c>
      <c r="AG23" s="37">
        <f aca="true" t="shared" si="13" ref="AG23:AG31">O23/$S23*$S$5</f>
        <v>3331.1371163612275</v>
      </c>
      <c r="AH23" s="37">
        <f aca="true" t="shared" si="14" ref="AH23:AH31">P23/$S23*$S$5</f>
        <v>7443.009494369619</v>
      </c>
      <c r="AI23" s="37">
        <f aca="true" t="shared" si="15" ref="AI23:AI31">Q23/$S23*$S$5</f>
        <v>10982.342680503423</v>
      </c>
      <c r="AJ23" s="3">
        <f t="shared" si="7"/>
        <v>39563</v>
      </c>
    </row>
    <row r="24" spans="2:36" ht="12.75">
      <c r="B24" s="34" t="s">
        <v>1176</v>
      </c>
      <c r="C24" s="3">
        <v>143080</v>
      </c>
      <c r="D24" s="3">
        <v>298720</v>
      </c>
      <c r="E24" s="3">
        <v>455030</v>
      </c>
      <c r="F24" s="61">
        <v>39563</v>
      </c>
      <c r="G24" t="str">
        <f ca="1">OFFSET($B$6,5*(ROWS(G$7:$L24)-1),0)</f>
        <v>South Africa</v>
      </c>
      <c r="H24" t="str">
        <f ca="1">MID(OFFSET($B$6,5*(ROWS(H$7:$L24)-1),1),2,3)</f>
        <v>ZAR</v>
      </c>
      <c r="I24">
        <v>19290</v>
      </c>
      <c r="J24">
        <v>41920</v>
      </c>
      <c r="K24">
        <v>63410</v>
      </c>
      <c r="L24">
        <v>22170</v>
      </c>
      <c r="M24">
        <v>48200</v>
      </c>
      <c r="N24">
        <v>72910</v>
      </c>
      <c r="O24">
        <v>26030</v>
      </c>
      <c r="P24">
        <v>56630</v>
      </c>
      <c r="Q24">
        <v>85550</v>
      </c>
      <c r="S24">
        <f t="shared" si="2"/>
        <v>7.5881</v>
      </c>
      <c r="W24" s="41">
        <f t="shared" si="5"/>
        <v>33</v>
      </c>
      <c r="X24" s="37">
        <f>HLOOKUP('Star Alliance'!$AV$4,SAData!$AA$5:$AI$39,ROWS($X$7:X24)+2,FALSE)+CODE(LEFT(Y24))/10000</f>
        <v>7248.212066423744</v>
      </c>
      <c r="Y24" t="str">
        <f t="shared" si="3"/>
        <v>South Africa</v>
      </c>
      <c r="AA24" s="37">
        <f t="shared" si="6"/>
        <v>1634.3407440597778</v>
      </c>
      <c r="AB24" s="37">
        <f t="shared" si="8"/>
        <v>3551.662207930839</v>
      </c>
      <c r="AC24" s="37">
        <f t="shared" si="9"/>
        <v>5372.397438093857</v>
      </c>
      <c r="AD24" s="37">
        <f t="shared" si="10"/>
        <v>1878.348071322202</v>
      </c>
      <c r="AE24" s="37">
        <f t="shared" si="11"/>
        <v>4083.7337409891807</v>
      </c>
      <c r="AF24" s="37">
        <f t="shared" si="12"/>
        <v>6177.282718994215</v>
      </c>
      <c r="AG24" s="37">
        <f t="shared" si="13"/>
        <v>2205.3856696669786</v>
      </c>
      <c r="AH24" s="37">
        <f t="shared" si="14"/>
        <v>4797.963521830235</v>
      </c>
      <c r="AI24" s="37">
        <f t="shared" si="15"/>
        <v>7248.203766423743</v>
      </c>
      <c r="AJ24" s="3">
        <f t="shared" si="7"/>
        <v>39563</v>
      </c>
    </row>
    <row r="25" spans="6:36" ht="12.75">
      <c r="F25" s="61">
        <v>39563</v>
      </c>
      <c r="G25" t="str">
        <f ca="1">OFFSET($B$6,5*(ROWS(G$7:$L25)-1),0)</f>
        <v>New Zealand</v>
      </c>
      <c r="H25" t="str">
        <f ca="1">MID(OFFSET($B$6,5*(ROWS(H$7:$L25)-1),1),2,3)</f>
        <v>NZD</v>
      </c>
      <c r="I25">
        <v>4479</v>
      </c>
      <c r="J25">
        <v>13649</v>
      </c>
      <c r="K25">
        <v>18426</v>
      </c>
      <c r="L25">
        <v>4809</v>
      </c>
      <c r="M25">
        <v>15239</v>
      </c>
      <c r="N25">
        <v>20573</v>
      </c>
      <c r="O25">
        <v>5429</v>
      </c>
      <c r="P25">
        <v>16629</v>
      </c>
      <c r="Q25">
        <v>22449</v>
      </c>
      <c r="S25">
        <f t="shared" si="2"/>
        <v>1.2828</v>
      </c>
      <c r="W25" s="41">
        <f t="shared" si="5"/>
        <v>17</v>
      </c>
      <c r="X25" s="37">
        <f>HLOOKUP('Star Alliance'!$AV$4,SAData!$AA$5:$AI$39,ROWS($X$7:X25)+2,FALSE)+CODE(LEFT(Y25))/10000</f>
        <v>11250.7578</v>
      </c>
      <c r="Y25" t="str">
        <f t="shared" si="3"/>
        <v>New Zealand</v>
      </c>
      <c r="AA25" s="37">
        <f t="shared" si="6"/>
        <v>2244.737371375117</v>
      </c>
      <c r="AB25" s="37">
        <f t="shared" si="8"/>
        <v>6840.460009354538</v>
      </c>
      <c r="AC25" s="37">
        <f t="shared" si="9"/>
        <v>9234.545837231059</v>
      </c>
      <c r="AD25" s="37">
        <f t="shared" si="10"/>
        <v>2410.123246024322</v>
      </c>
      <c r="AE25" s="37">
        <f t="shared" si="11"/>
        <v>7637.319223573434</v>
      </c>
      <c r="AF25" s="37">
        <f t="shared" si="12"/>
        <v>10310.556361085128</v>
      </c>
      <c r="AG25" s="37">
        <f t="shared" si="13"/>
        <v>2720.8482226379792</v>
      </c>
      <c r="AH25" s="37">
        <f t="shared" si="14"/>
        <v>8333.944574368568</v>
      </c>
      <c r="AI25" s="37">
        <f t="shared" si="15"/>
        <v>11250.75</v>
      </c>
      <c r="AJ25" s="3">
        <f t="shared" si="7"/>
        <v>39563</v>
      </c>
    </row>
    <row r="26" spans="2:36" ht="12.75">
      <c r="B26" s="33" t="s">
        <v>1403</v>
      </c>
      <c r="C26" s="3" t="str">
        <f ca="1">"("&amp;OFFSET(SATemp!$E$13,MATCH(SAData!$B26,SATemp!$C$10:$C$1239,0)-4,-4)&amp;")"</f>
        <v>(TWD)</v>
      </c>
      <c r="D26" s="45">
        <v>39297</v>
      </c>
      <c r="F26" s="61">
        <v>39563</v>
      </c>
      <c r="G26" t="str">
        <f ca="1">OFFSET($B$6,5*(ROWS(G$7:$L26)-1),0)</f>
        <v>Japan</v>
      </c>
      <c r="H26" t="str">
        <f ca="1">MID(OFFSET($B$6,5*(ROWS(H$7:$L26)-1),1),2,3)</f>
        <v>JPY</v>
      </c>
      <c r="I26">
        <v>335000</v>
      </c>
      <c r="J26">
        <v>656300</v>
      </c>
      <c r="K26">
        <v>955500</v>
      </c>
      <c r="L26">
        <v>404300</v>
      </c>
      <c r="M26">
        <v>790900</v>
      </c>
      <c r="N26">
        <v>1151700</v>
      </c>
      <c r="O26">
        <v>474600</v>
      </c>
      <c r="P26">
        <v>928400</v>
      </c>
      <c r="Q26">
        <v>1351900</v>
      </c>
      <c r="S26">
        <f t="shared" si="2"/>
        <v>103.979</v>
      </c>
      <c r="W26" s="41">
        <f t="shared" si="5"/>
        <v>30</v>
      </c>
      <c r="X26" s="37">
        <f>HLOOKUP('Star Alliance'!$AV$4,SAData!$AA$5:$AI$39,ROWS($X$7:X26)+2,FALSE)+CODE(LEFT(Y26))/10000</f>
        <v>8358.777055411188</v>
      </c>
      <c r="Y26" t="str">
        <f t="shared" si="3"/>
        <v>Japan</v>
      </c>
      <c r="AA26" s="37">
        <f t="shared" si="6"/>
        <v>2071.2980505679034</v>
      </c>
      <c r="AB26" s="37">
        <f t="shared" si="8"/>
        <v>4057.8892853364628</v>
      </c>
      <c r="AC26" s="37">
        <f t="shared" si="9"/>
        <v>5907.836678560095</v>
      </c>
      <c r="AD26" s="37">
        <f t="shared" si="10"/>
        <v>2499.778512968965</v>
      </c>
      <c r="AE26" s="37">
        <f t="shared" si="11"/>
        <v>4890.11829311688</v>
      </c>
      <c r="AF26" s="37">
        <f t="shared" si="12"/>
        <v>7120.937208474788</v>
      </c>
      <c r="AG26" s="37">
        <f t="shared" si="13"/>
        <v>2934.4419546254535</v>
      </c>
      <c r="AH26" s="37">
        <f t="shared" si="14"/>
        <v>5740.277940738034</v>
      </c>
      <c r="AI26" s="37">
        <f t="shared" si="15"/>
        <v>8358.769655411188</v>
      </c>
      <c r="AJ26" s="3">
        <f t="shared" si="7"/>
        <v>39563</v>
      </c>
    </row>
    <row r="27" spans="2:36" ht="12.75">
      <c r="B27" s="34" t="s">
        <v>1174</v>
      </c>
      <c r="C27" s="3">
        <v>88290</v>
      </c>
      <c r="D27" s="3">
        <v>210100</v>
      </c>
      <c r="E27" s="3">
        <v>297700</v>
      </c>
      <c r="F27" s="61">
        <v>39563</v>
      </c>
      <c r="G27" t="str">
        <f ca="1">OFFSET($B$6,5*(ROWS(G$7:$L27)-1),0)</f>
        <v>Australia</v>
      </c>
      <c r="H27" t="str">
        <f ca="1">MID(OFFSET($B$6,5*(ROWS(H$7:$L27)-1),1),2,3)</f>
        <v>AUD</v>
      </c>
      <c r="I27">
        <v>3229</v>
      </c>
      <c r="J27">
        <v>9989</v>
      </c>
      <c r="K27">
        <v>14069</v>
      </c>
      <c r="L27">
        <v>3779</v>
      </c>
      <c r="M27">
        <v>11129</v>
      </c>
      <c r="N27">
        <v>15109</v>
      </c>
      <c r="O27">
        <v>4409</v>
      </c>
      <c r="P27">
        <v>12519</v>
      </c>
      <c r="Q27">
        <v>16149</v>
      </c>
      <c r="S27">
        <f t="shared" si="2"/>
        <v>1.0657</v>
      </c>
      <c r="W27" s="41">
        <f t="shared" si="5"/>
        <v>24</v>
      </c>
      <c r="X27" s="37">
        <f>HLOOKUP('Star Alliance'!$AV$4,SAData!$AA$5:$AI$39,ROWS($X$7:X27)+2,FALSE)+CODE(LEFT(Y27))/10000</f>
        <v>9742.14040259923</v>
      </c>
      <c r="Y27" t="str">
        <f t="shared" si="3"/>
        <v>Australia</v>
      </c>
      <c r="AA27" s="37">
        <f t="shared" si="6"/>
        <v>1947.944168152388</v>
      </c>
      <c r="AB27" s="37">
        <f t="shared" si="8"/>
        <v>6026.018673172563</v>
      </c>
      <c r="AC27" s="37">
        <f t="shared" si="9"/>
        <v>8487.341747208407</v>
      </c>
      <c r="AD27" s="37">
        <f t="shared" si="10"/>
        <v>2279.740170779769</v>
      </c>
      <c r="AE27" s="37">
        <f t="shared" si="11"/>
        <v>6713.741296800225</v>
      </c>
      <c r="AF27" s="37">
        <f t="shared" si="12"/>
        <v>9114.73782490382</v>
      </c>
      <c r="AG27" s="37">
        <f t="shared" si="13"/>
        <v>2659.797410152951</v>
      </c>
      <c r="AH27" s="37">
        <f t="shared" si="14"/>
        <v>7552.2802852585155</v>
      </c>
      <c r="AI27" s="37">
        <f t="shared" si="15"/>
        <v>9742.133902599231</v>
      </c>
      <c r="AJ27" s="3">
        <f t="shared" si="7"/>
        <v>39563</v>
      </c>
    </row>
    <row r="28" spans="2:36" ht="12.75">
      <c r="B28" s="34" t="s">
        <v>1175</v>
      </c>
      <c r="C28" s="3">
        <v>106560</v>
      </c>
      <c r="D28" s="3">
        <v>241700</v>
      </c>
      <c r="E28" s="3">
        <v>342300</v>
      </c>
      <c r="F28" s="61">
        <v>39563</v>
      </c>
      <c r="G28" t="str">
        <f ca="1">OFFSET($B$6,5*(ROWS(G$7:$L28)-1),0)</f>
        <v>USA</v>
      </c>
      <c r="H28" t="str">
        <f ca="1">MID(OFFSET($B$6,5*(ROWS(H$7:$L28)-1),1),2,3)</f>
        <v>USD</v>
      </c>
      <c r="I28">
        <v>4069</v>
      </c>
      <c r="J28">
        <v>7880</v>
      </c>
      <c r="K28">
        <v>11440</v>
      </c>
      <c r="L28">
        <v>4687</v>
      </c>
      <c r="M28">
        <v>9013</v>
      </c>
      <c r="N28">
        <v>13090</v>
      </c>
      <c r="O28">
        <v>5511</v>
      </c>
      <c r="P28">
        <v>10558</v>
      </c>
      <c r="Q28">
        <v>15400</v>
      </c>
      <c r="S28">
        <f t="shared" si="2"/>
        <v>1</v>
      </c>
      <c r="W28" s="41">
        <f t="shared" si="5"/>
        <v>23</v>
      </c>
      <c r="X28" s="37">
        <f>HLOOKUP('Star Alliance'!$AV$4,SAData!$AA$5:$AI$39,ROWS($X$7:X28)+2,FALSE)+CODE(LEFT(Y28))/10000</f>
        <v>9900.6685</v>
      </c>
      <c r="Y28" t="s">
        <v>1198</v>
      </c>
      <c r="AA28" s="37">
        <f t="shared" si="6"/>
        <v>2615.9601000000002</v>
      </c>
      <c r="AB28" s="37">
        <f t="shared" si="8"/>
        <v>5066.052000000001</v>
      </c>
      <c r="AC28" s="37">
        <f t="shared" si="9"/>
        <v>7354.776000000001</v>
      </c>
      <c r="AD28" s="37">
        <f t="shared" si="10"/>
        <v>3013.2723</v>
      </c>
      <c r="AE28" s="37">
        <f t="shared" si="11"/>
        <v>5794.4577</v>
      </c>
      <c r="AF28" s="37">
        <f t="shared" si="12"/>
        <v>8415.561</v>
      </c>
      <c r="AG28" s="37">
        <f t="shared" si="13"/>
        <v>3543.0219</v>
      </c>
      <c r="AH28" s="37">
        <f t="shared" si="14"/>
        <v>6787.738200000001</v>
      </c>
      <c r="AI28" s="37">
        <f t="shared" si="15"/>
        <v>9900.66</v>
      </c>
      <c r="AJ28" s="3">
        <f t="shared" si="7"/>
        <v>39563</v>
      </c>
    </row>
    <row r="29" spans="2:36" ht="12.75">
      <c r="B29" s="34" t="s">
        <v>1176</v>
      </c>
      <c r="C29" s="3">
        <v>125010</v>
      </c>
      <c r="D29" s="3">
        <v>283700</v>
      </c>
      <c r="E29" s="3">
        <v>401900</v>
      </c>
      <c r="F29" s="61">
        <v>39563</v>
      </c>
      <c r="G29" t="str">
        <f ca="1">OFFSET($B$6,5*(ROWS(G$7:$L29)-1),0)</f>
        <v>Switzerland</v>
      </c>
      <c r="H29" t="str">
        <f ca="1">MID(OFFSET($B$6,5*(ROWS(H$7:$L29)-1),1),2,3)</f>
        <v>CHF</v>
      </c>
      <c r="I29">
        <v>4200</v>
      </c>
      <c r="J29">
        <v>9400</v>
      </c>
      <c r="K29">
        <v>16600</v>
      </c>
      <c r="L29">
        <v>5100</v>
      </c>
      <c r="M29">
        <v>10800</v>
      </c>
      <c r="N29">
        <v>19000</v>
      </c>
      <c r="O29">
        <v>5900</v>
      </c>
      <c r="P29">
        <v>12800</v>
      </c>
      <c r="Q29">
        <v>22500</v>
      </c>
      <c r="S29">
        <f t="shared" si="2"/>
        <v>1.0411</v>
      </c>
      <c r="W29" s="41">
        <f t="shared" si="5"/>
        <v>3</v>
      </c>
      <c r="X29" s="37">
        <f>HLOOKUP('Star Alliance'!$AV$4,SAData!$AA$5:$AI$39,ROWS($X$7:X29)+2,FALSE)+CODE(LEFT(Y29))/10000</f>
        <v>13894.206743953511</v>
      </c>
      <c r="Y29" t="str">
        <f>PROPER(G29)</f>
        <v>Switzerland</v>
      </c>
      <c r="AA29" s="37">
        <f t="shared" si="6"/>
        <v>2593.583709537989</v>
      </c>
      <c r="AB29" s="37">
        <f t="shared" si="8"/>
        <v>5804.687349918356</v>
      </c>
      <c r="AC29" s="37">
        <f t="shared" si="9"/>
        <v>10250.83085198348</v>
      </c>
      <c r="AD29" s="37">
        <f t="shared" si="10"/>
        <v>3149.3516472961296</v>
      </c>
      <c r="AE29" s="37">
        <f t="shared" si="11"/>
        <v>6669.2152530976855</v>
      </c>
      <c r="AF29" s="37">
        <f t="shared" si="12"/>
        <v>11732.878686005188</v>
      </c>
      <c r="AG29" s="37">
        <f t="shared" si="13"/>
        <v>3643.367591970032</v>
      </c>
      <c r="AH29" s="37">
        <f t="shared" si="14"/>
        <v>7904.255114782442</v>
      </c>
      <c r="AI29" s="37">
        <f t="shared" si="15"/>
        <v>13894.198443953512</v>
      </c>
      <c r="AJ29" s="3">
        <f t="shared" si="7"/>
        <v>39563</v>
      </c>
    </row>
    <row r="30" spans="6:36" ht="12.75">
      <c r="F30" s="61">
        <v>39563</v>
      </c>
      <c r="G30" t="str">
        <f ca="1">OFFSET($B$6,5*(ROWS(G$7:$L30)-1),0)</f>
        <v>Canada</v>
      </c>
      <c r="H30" t="str">
        <f ca="1">MID(OFFSET($B$6,5*(ROWS(H$7:$L30)-1),1),2,3)</f>
        <v>CAD</v>
      </c>
      <c r="I30">
        <v>4737</v>
      </c>
      <c r="J30">
        <v>10079</v>
      </c>
      <c r="K30">
        <v>14279</v>
      </c>
      <c r="L30">
        <v>5406</v>
      </c>
      <c r="M30">
        <v>12126</v>
      </c>
      <c r="N30">
        <v>16431</v>
      </c>
      <c r="O30">
        <v>6179</v>
      </c>
      <c r="P30">
        <v>13649</v>
      </c>
      <c r="Q30">
        <v>19319</v>
      </c>
      <c r="S30">
        <f t="shared" si="2"/>
        <v>1.0119</v>
      </c>
      <c r="W30" s="41">
        <f t="shared" si="5"/>
        <v>11</v>
      </c>
      <c r="X30" s="37">
        <f>HLOOKUP('Star Alliance'!$AV$4,SAData!$AA$5:$AI$39,ROWS($X$7:X30)+2,FALSE)+CODE(LEFT(Y30))/10000</f>
        <v>12274.12973587311</v>
      </c>
      <c r="Y30" t="str">
        <f>PROPER(G30)</f>
        <v>Canada</v>
      </c>
      <c r="AA30" s="37">
        <f t="shared" si="6"/>
        <v>3009.603024014231</v>
      </c>
      <c r="AB30" s="37">
        <f t="shared" si="8"/>
        <v>6403.586421583161</v>
      </c>
      <c r="AC30" s="37">
        <f t="shared" si="9"/>
        <v>9072.01215535132</v>
      </c>
      <c r="AD30" s="37">
        <f t="shared" si="10"/>
        <v>3434.645123035873</v>
      </c>
      <c r="AE30" s="37">
        <f t="shared" si="11"/>
        <v>7704.126297064928</v>
      </c>
      <c r="AF30" s="37">
        <f t="shared" si="12"/>
        <v>10439.26267417729</v>
      </c>
      <c r="AG30" s="37">
        <f t="shared" si="13"/>
        <v>3925.7625259412985</v>
      </c>
      <c r="AH30" s="37">
        <f t="shared" si="14"/>
        <v>8671.748295286096</v>
      </c>
      <c r="AI30" s="37">
        <f t="shared" si="15"/>
        <v>12274.12303587311</v>
      </c>
      <c r="AJ30" s="3">
        <f t="shared" si="7"/>
        <v>39563</v>
      </c>
    </row>
    <row r="31" spans="2:36" ht="12.75">
      <c r="B31" s="33" t="s">
        <v>1395</v>
      </c>
      <c r="C31" s="3" t="str">
        <f ca="1">"("&amp;OFFSET(SATemp!$E$13,MATCH(SAData!$B31,SATemp!$C$10:$C$1239,0)-4,-4)&amp;")"</f>
        <v>(USD)</v>
      </c>
      <c r="D31" s="45">
        <v>39297</v>
      </c>
      <c r="F31" s="61">
        <v>39563</v>
      </c>
      <c r="G31" t="str">
        <f ca="1">OFFSET($B$6,5*(ROWS(G$7:$L31)-1),0)</f>
        <v>Euro-Area</v>
      </c>
      <c r="H31" t="str">
        <f ca="1">MID(OFFSET($B$6,5*(ROWS(H$7:$L31)-1),1),2,3)</f>
        <v>EUR</v>
      </c>
      <c r="I31">
        <v>2519</v>
      </c>
      <c r="J31">
        <v>5669</v>
      </c>
      <c r="K31">
        <v>10059</v>
      </c>
      <c r="L31">
        <v>3049</v>
      </c>
      <c r="M31">
        <v>6559</v>
      </c>
      <c r="N31">
        <v>11549</v>
      </c>
      <c r="O31">
        <v>3569</v>
      </c>
      <c r="P31">
        <v>7749</v>
      </c>
      <c r="Q31">
        <v>13629</v>
      </c>
      <c r="S31">
        <f t="shared" si="2"/>
        <v>0.6429</v>
      </c>
      <c r="W31" s="41">
        <f t="shared" si="5"/>
        <v>7</v>
      </c>
      <c r="X31" s="37">
        <f>HLOOKUP('Star Alliance'!$AV$4,SAData!$AA$5:$AI$39,ROWS($X$7:X31)+2,FALSE)+CODE(LEFT(Y31))/10000</f>
        <v>13629.0069</v>
      </c>
      <c r="Y31" t="str">
        <f>PROPER(G31)</f>
        <v>Euro-Area</v>
      </c>
      <c r="AA31" s="37">
        <f t="shared" si="6"/>
        <v>2519</v>
      </c>
      <c r="AB31" s="37">
        <f t="shared" si="8"/>
        <v>5669</v>
      </c>
      <c r="AC31" s="37">
        <f t="shared" si="9"/>
        <v>10059</v>
      </c>
      <c r="AD31" s="37">
        <f t="shared" si="10"/>
        <v>3049</v>
      </c>
      <c r="AE31" s="37">
        <f t="shared" si="11"/>
        <v>6559</v>
      </c>
      <c r="AF31" s="37">
        <f t="shared" si="12"/>
        <v>11549</v>
      </c>
      <c r="AG31" s="37">
        <f t="shared" si="13"/>
        <v>3569</v>
      </c>
      <c r="AH31" s="37">
        <f t="shared" si="14"/>
        <v>7748.999999999999</v>
      </c>
      <c r="AI31" s="37">
        <f t="shared" si="15"/>
        <v>13629</v>
      </c>
      <c r="AJ31" s="3">
        <f t="shared" si="7"/>
        <v>39563</v>
      </c>
    </row>
    <row r="32" spans="2:36" ht="12.75">
      <c r="B32" s="34" t="s">
        <v>1174</v>
      </c>
      <c r="C32" s="3">
        <v>2889</v>
      </c>
      <c r="D32" s="3">
        <v>5679</v>
      </c>
      <c r="E32" s="3">
        <v>7859</v>
      </c>
      <c r="F32" s="61">
        <v>39563</v>
      </c>
      <c r="G32" t="str">
        <f ca="1">OFFSET($B$6,5*(ROWS(G$7:$L32)-1),0)</f>
        <v>Great Britain</v>
      </c>
      <c r="H32" t="str">
        <f ca="1">MID(OFFSET($B$6,5*(ROWS(H$7:$L32)-1),1),2,3)</f>
        <v>GBP</v>
      </c>
      <c r="I32">
        <v>1480</v>
      </c>
      <c r="J32">
        <v>4140</v>
      </c>
      <c r="K32">
        <v>7116</v>
      </c>
      <c r="L32">
        <v>1826</v>
      </c>
      <c r="M32">
        <v>4718</v>
      </c>
      <c r="N32">
        <v>8205</v>
      </c>
      <c r="O32">
        <v>2057</v>
      </c>
      <c r="P32">
        <v>5553</v>
      </c>
      <c r="Q32">
        <v>9657</v>
      </c>
      <c r="S32">
        <f t="shared" si="2"/>
        <v>0.5043</v>
      </c>
      <c r="W32" s="41">
        <f t="shared" si="5"/>
        <v>10</v>
      </c>
      <c r="X32" s="37">
        <f>HLOOKUP('Star Alliance'!$AV$4,SAData!$AA$5:$AI$39,ROWS($X$7:X32)+2,FALSE)+CODE(LEFT(Y32))/10000</f>
        <v>12311.102281439622</v>
      </c>
      <c r="Y32" t="str">
        <f>PROPER(G32)</f>
        <v>Great Britain</v>
      </c>
      <c r="AA32" s="37">
        <f aca="true" t="shared" si="16" ref="AA32:AI32">I32/$S32*$S$5</f>
        <v>1886.7578822129688</v>
      </c>
      <c r="AB32" s="37">
        <f t="shared" si="16"/>
        <v>5277.82272456871</v>
      </c>
      <c r="AC32" s="37">
        <f t="shared" si="16"/>
        <v>9071.735871505058</v>
      </c>
      <c r="AD32" s="37">
        <f t="shared" si="16"/>
        <v>2327.8512790005952</v>
      </c>
      <c r="AE32" s="37">
        <f t="shared" si="16"/>
        <v>6014.678167757288</v>
      </c>
      <c r="AF32" s="37">
        <f t="shared" si="16"/>
        <v>10460.03271861987</v>
      </c>
      <c r="AG32" s="37">
        <f t="shared" si="16"/>
        <v>2622.3384889946465</v>
      </c>
      <c r="AH32" s="37">
        <f t="shared" si="16"/>
        <v>7079.166567519334</v>
      </c>
      <c r="AI32" s="37">
        <f t="shared" si="16"/>
        <v>12311.095181439621</v>
      </c>
      <c r="AJ32" s="3">
        <f t="shared" si="7"/>
        <v>39563</v>
      </c>
    </row>
    <row r="33" spans="2:36" ht="12.75">
      <c r="B33" s="34" t="s">
        <v>1175</v>
      </c>
      <c r="C33" s="3">
        <v>3319</v>
      </c>
      <c r="D33" s="3">
        <v>6559</v>
      </c>
      <c r="E33" s="3">
        <v>9079</v>
      </c>
      <c r="F33" s="61">
        <v>39563</v>
      </c>
      <c r="G33" t="str">
        <f ca="1">OFFSET($B$6,5*(ROWS(G$7:$L33)-1),0)</f>
        <v>Poland</v>
      </c>
      <c r="H33" t="str">
        <f ca="1">MID(OFFSET($B$6,5*(ROWS(H$7:$L33)-1),1),2,3)</f>
        <v>PLN</v>
      </c>
      <c r="I33">
        <v>9838.5222734255</v>
      </c>
      <c r="J33">
        <v>22120.374807987715</v>
      </c>
      <c r="K33">
        <v>41667.01689708142</v>
      </c>
      <c r="L33">
        <v>11890.645161290324</v>
      </c>
      <c r="M33">
        <v>25600.061443932416</v>
      </c>
      <c r="N33">
        <v>47840.543778801846</v>
      </c>
      <c r="O33">
        <v>13929.04147465438</v>
      </c>
      <c r="P33">
        <v>30171.010752688177</v>
      </c>
      <c r="Q33">
        <v>56450.53763440861</v>
      </c>
      <c r="S33">
        <f t="shared" si="2"/>
        <v>2.2322</v>
      </c>
      <c r="W33" s="41">
        <f t="shared" si="5"/>
        <v>1</v>
      </c>
      <c r="X33" s="37">
        <f>HLOOKUP('Star Alliance'!$AV$4,SAData!$AA$5:$AI$39,ROWS($X$7:X33)+2,FALSE)+CODE(LEFT(Y33))/10000</f>
        <v>16258.43047341694</v>
      </c>
      <c r="Y33" t="str">
        <f aca="true" t="shared" si="17" ref="Y33:Y39">PROPER(G33)</f>
        <v>Poland</v>
      </c>
      <c r="AA33" s="37">
        <f aca="true" t="shared" si="18" ref="AA33:AA39">I33/$S33*$S$5</f>
        <v>2833.610773938381</v>
      </c>
      <c r="AB33" s="37">
        <f aca="true" t="shared" si="19" ref="AB33:AB39">J33/$S33*$S$5</f>
        <v>6370.929560100037</v>
      </c>
      <c r="AC33" s="37">
        <f aca="true" t="shared" si="20" ref="AC33:AC39">K33/$S33*$S$5</f>
        <v>12000.59365788623</v>
      </c>
      <c r="AD33" s="37">
        <f aca="true" t="shared" si="21" ref="AD33:AD39">L33/$S33*$S$5</f>
        <v>3424.646435889951</v>
      </c>
      <c r="AE33" s="37">
        <f aca="true" t="shared" si="22" ref="AE33:AE39">M33/$S33*$S$5</f>
        <v>7373.12046514835</v>
      </c>
      <c r="AF33" s="37">
        <f aca="true" t="shared" si="23" ref="AF33:AF39">N33/$S33*$S$5</f>
        <v>13778.642413489699</v>
      </c>
      <c r="AG33" s="37">
        <f aca="true" t="shared" si="24" ref="AG33:AG39">O33/$S33*$S$5</f>
        <v>4011.728682042514</v>
      </c>
      <c r="AH33" s="37">
        <f aca="true" t="shared" si="25" ref="AH33:AH39">P33/$S33*$S$5</f>
        <v>8689.607926217734</v>
      </c>
      <c r="AI33" s="37">
        <f aca="true" t="shared" si="26" ref="AI33:AI39">Q33/$S33*$S$5</f>
        <v>16258.42247341694</v>
      </c>
      <c r="AJ33" s="3">
        <f t="shared" si="7"/>
        <v>39563</v>
      </c>
    </row>
    <row r="34" spans="2:36" ht="12.75">
      <c r="B34" s="34" t="s">
        <v>1176</v>
      </c>
      <c r="C34" s="3">
        <v>3899</v>
      </c>
      <c r="D34" s="3">
        <v>7699</v>
      </c>
      <c r="E34" s="3">
        <v>10669</v>
      </c>
      <c r="F34" s="61">
        <v>39563</v>
      </c>
      <c r="G34" t="str">
        <f ca="1">OFFSET($B$6,5*(ROWS(G$7:$L34)-1),0)</f>
        <v>Argentina</v>
      </c>
      <c r="H34" t="str">
        <f ca="1">MID(OFFSET($B$6,5*(ROWS(H$7:$L34)-1),1),2,3)</f>
        <v>USD</v>
      </c>
      <c r="I34">
        <v>3075.2064</v>
      </c>
      <c r="J34">
        <v>7854.0216</v>
      </c>
      <c r="K34">
        <v>10698.2088</v>
      </c>
      <c r="L34">
        <v>3499.3727999999996</v>
      </c>
      <c r="M34">
        <v>8998.3872</v>
      </c>
      <c r="N34">
        <v>12265.4784</v>
      </c>
      <c r="O34">
        <v>4135.6224</v>
      </c>
      <c r="P34">
        <v>10558.7136</v>
      </c>
      <c r="Q34">
        <v>14426.707199999999</v>
      </c>
      <c r="S34">
        <f t="shared" si="2"/>
        <v>1</v>
      </c>
      <c r="W34" s="41">
        <f t="shared" si="5"/>
        <v>26</v>
      </c>
      <c r="X34" s="37">
        <f>HLOOKUP('Star Alliance'!$AV$4,SAData!$AA$5:$AI$39,ROWS($X$7:X34)+2,FALSE)+CODE(LEFT(Y34))/10000</f>
        <v>9274.93655888</v>
      </c>
      <c r="Y34" t="str">
        <f t="shared" si="17"/>
        <v>Argentina</v>
      </c>
      <c r="AA34" s="37">
        <f t="shared" si="18"/>
        <v>1977.0501945600001</v>
      </c>
      <c r="AB34" s="37">
        <f t="shared" si="19"/>
        <v>5049.35048664</v>
      </c>
      <c r="AC34" s="37">
        <f t="shared" si="20"/>
        <v>6877.87843752</v>
      </c>
      <c r="AD34" s="37">
        <f t="shared" si="21"/>
        <v>2249.74677312</v>
      </c>
      <c r="AE34" s="37">
        <f t="shared" si="22"/>
        <v>5785.063130879999</v>
      </c>
      <c r="AF34" s="37">
        <f t="shared" si="23"/>
        <v>7885.47606336</v>
      </c>
      <c r="AG34" s="37">
        <f t="shared" si="24"/>
        <v>2658.79164096</v>
      </c>
      <c r="AH34" s="37">
        <f t="shared" si="25"/>
        <v>6788.19697344</v>
      </c>
      <c r="AI34" s="37">
        <f t="shared" si="26"/>
        <v>9274.93005888</v>
      </c>
      <c r="AJ34" s="3">
        <f t="shared" si="7"/>
        <v>39563</v>
      </c>
    </row>
    <row r="35" spans="6:36" ht="12.75">
      <c r="F35" s="61">
        <v>39563</v>
      </c>
      <c r="G35" t="str">
        <f ca="1">OFFSET($B$6,5*(ROWS(G$7:$L35)-1),0)</f>
        <v>Israel</v>
      </c>
      <c r="H35" t="str">
        <f ca="1">MID(OFFSET($B$6,5*(ROWS(H$7:$L35)-1),1),2,3)</f>
        <v>USD</v>
      </c>
      <c r="I35">
        <v>3160</v>
      </c>
      <c r="J35">
        <v>7128</v>
      </c>
      <c r="K35">
        <v>13442</v>
      </c>
      <c r="L35">
        <v>3881</v>
      </c>
      <c r="M35">
        <v>8218</v>
      </c>
      <c r="N35">
        <v>15433</v>
      </c>
      <c r="O35">
        <v>4549</v>
      </c>
      <c r="P35">
        <v>9681</v>
      </c>
      <c r="Q35">
        <v>18212</v>
      </c>
      <c r="S35">
        <f t="shared" si="2"/>
        <v>1</v>
      </c>
      <c r="W35" s="41">
        <f t="shared" si="5"/>
        <v>15</v>
      </c>
      <c r="X35" s="37">
        <f>HLOOKUP('Star Alliance'!$AV$4,SAData!$AA$5:$AI$39,ROWS($X$7:X35)+2,FALSE)+CODE(LEFT(Y35))/10000</f>
        <v>11708.5021</v>
      </c>
      <c r="Y35" t="str">
        <f t="shared" si="17"/>
        <v>Israel</v>
      </c>
      <c r="AA35" s="37">
        <f t="shared" si="18"/>
        <v>2031.564</v>
      </c>
      <c r="AB35" s="37">
        <f t="shared" si="19"/>
        <v>4582.5912</v>
      </c>
      <c r="AC35" s="37">
        <f t="shared" si="20"/>
        <v>8641.8618</v>
      </c>
      <c r="AD35" s="37">
        <f t="shared" si="21"/>
        <v>2495.0949</v>
      </c>
      <c r="AE35" s="37">
        <f t="shared" si="22"/>
        <v>5283.3522</v>
      </c>
      <c r="AF35" s="37">
        <f t="shared" si="23"/>
        <v>9921.8757</v>
      </c>
      <c r="AG35" s="37">
        <f t="shared" si="24"/>
        <v>2924.5521000000003</v>
      </c>
      <c r="AH35" s="37">
        <f t="shared" si="25"/>
        <v>6223.914900000001</v>
      </c>
      <c r="AI35" s="37">
        <f t="shared" si="26"/>
        <v>11708.4948</v>
      </c>
      <c r="AJ35" s="3">
        <f t="shared" si="7"/>
        <v>39563</v>
      </c>
    </row>
    <row r="36" spans="2:36" ht="12.75">
      <c r="B36" s="33" t="s">
        <v>1013</v>
      </c>
      <c r="C36" s="3" t="str">
        <f ca="1">"("&amp;OFFSET(SATemp!$E$13,MATCH(SAData!$B36,SATemp!$C$10:$C$1239,0)-4,-4)&amp;")"</f>
        <v>(EUR)</v>
      </c>
      <c r="F36" s="61">
        <v>39563</v>
      </c>
      <c r="G36" t="str">
        <f ca="1">OFFSET($B$6,5*(ROWS(G$7:$L36)-1),0)</f>
        <v>Lebanon</v>
      </c>
      <c r="H36" t="str">
        <f ca="1">MID(OFFSET($B$6,5*(ROWS(H$7:$L36)-1),1),2,3)</f>
        <v>USD</v>
      </c>
      <c r="I36">
        <v>3160</v>
      </c>
      <c r="J36">
        <v>7128</v>
      </c>
      <c r="K36">
        <v>13442</v>
      </c>
      <c r="L36">
        <v>3881</v>
      </c>
      <c r="M36">
        <v>8218</v>
      </c>
      <c r="N36">
        <v>15433</v>
      </c>
      <c r="O36">
        <v>4549</v>
      </c>
      <c r="P36">
        <v>9681</v>
      </c>
      <c r="Q36">
        <v>18212</v>
      </c>
      <c r="S36">
        <f t="shared" si="2"/>
        <v>1</v>
      </c>
      <c r="W36" s="41">
        <f t="shared" si="5"/>
        <v>14</v>
      </c>
      <c r="X36" s="37">
        <f>HLOOKUP('Star Alliance'!$AV$4,SAData!$AA$5:$AI$39,ROWS($X$7:X36)+2,FALSE)+CODE(LEFT(Y36))/10000</f>
        <v>11708.502400000001</v>
      </c>
      <c r="Y36" t="str">
        <f t="shared" si="17"/>
        <v>Lebanon</v>
      </c>
      <c r="AA36" s="37">
        <f t="shared" si="18"/>
        <v>2031.564</v>
      </c>
      <c r="AB36" s="37">
        <f t="shared" si="19"/>
        <v>4582.5912</v>
      </c>
      <c r="AC36" s="37">
        <f t="shared" si="20"/>
        <v>8641.8618</v>
      </c>
      <c r="AD36" s="37">
        <f t="shared" si="21"/>
        <v>2495.0949</v>
      </c>
      <c r="AE36" s="37">
        <f t="shared" si="22"/>
        <v>5283.3522</v>
      </c>
      <c r="AF36" s="37">
        <f t="shared" si="23"/>
        <v>9921.8757</v>
      </c>
      <c r="AG36" s="37">
        <f t="shared" si="24"/>
        <v>2924.5521000000003</v>
      </c>
      <c r="AH36" s="37">
        <f t="shared" si="25"/>
        <v>6223.914900000001</v>
      </c>
      <c r="AI36" s="37">
        <f t="shared" si="26"/>
        <v>11708.4948</v>
      </c>
      <c r="AJ36" s="3">
        <f t="shared" si="7"/>
        <v>39563</v>
      </c>
    </row>
    <row r="37" spans="2:36" ht="12.75">
      <c r="B37" s="34" t="s">
        <v>1174</v>
      </c>
      <c r="C37" s="3" t="str">
        <f ca="1">OFFSET(SATemp!E$14,MATCH(SAData!$B36,SATemp!$C$10:$C$1239,0)-1,0)</f>
        <v>2399</v>
      </c>
      <c r="D37" s="3" t="str">
        <f ca="1">OFFSET(SATemp!F$14,MATCH(SAData!$B36,SATemp!$C$10:$C$1239,0)-1,0)</f>
        <v>5399</v>
      </c>
      <c r="E37" s="3" t="str">
        <f ca="1">OFFSET(SATemp!G$14,MATCH(SAData!$B36,SATemp!$C$10:$C$1239,0)-1,0)</f>
        <v>8449</v>
      </c>
      <c r="F37" s="61">
        <v>39563</v>
      </c>
      <c r="G37" t="str">
        <f ca="1">OFFSET($B$6,5*(ROWS(G$7:$L37)-1),0)</f>
        <v>UAE</v>
      </c>
      <c r="H37" t="str">
        <f ca="1">MID(OFFSET($B$6,5*(ROWS(H$7:$L37)-1),1),2,3)</f>
        <v>AED</v>
      </c>
      <c r="I37">
        <v>11610</v>
      </c>
      <c r="J37">
        <v>26180</v>
      </c>
      <c r="K37">
        <v>49360</v>
      </c>
      <c r="L37">
        <v>14260</v>
      </c>
      <c r="M37">
        <v>30180</v>
      </c>
      <c r="N37">
        <v>56670</v>
      </c>
      <c r="O37">
        <v>16710</v>
      </c>
      <c r="P37">
        <v>35550</v>
      </c>
      <c r="Q37">
        <v>66880</v>
      </c>
      <c r="S37">
        <f t="shared" si="2"/>
        <v>3.6748</v>
      </c>
      <c r="W37" s="41">
        <f t="shared" si="5"/>
        <v>16</v>
      </c>
      <c r="X37" s="37">
        <f>HLOOKUP('Star Alliance'!$AV$4,SAData!$AA$5:$AI$39,ROWS($X$7:X37)+2,FALSE)+CODE(LEFT(Y37))/10000</f>
        <v>11700.550570316753</v>
      </c>
      <c r="Y37" t="str">
        <f t="shared" si="17"/>
        <v>Uae</v>
      </c>
      <c r="AA37" s="37">
        <f t="shared" si="18"/>
        <v>2031.149722433874</v>
      </c>
      <c r="AB37" s="37">
        <f t="shared" si="19"/>
        <v>4580.146402525308</v>
      </c>
      <c r="AC37" s="37">
        <f t="shared" si="20"/>
        <v>8635.447915532819</v>
      </c>
      <c r="AD37" s="37">
        <f t="shared" si="21"/>
        <v>2494.7627081745945</v>
      </c>
      <c r="AE37" s="37">
        <f t="shared" si="22"/>
        <v>5279.939588549037</v>
      </c>
      <c r="AF37" s="37">
        <f t="shared" si="23"/>
        <v>9914.319962991183</v>
      </c>
      <c r="AG37" s="37">
        <f t="shared" si="24"/>
        <v>2923.3860346141287</v>
      </c>
      <c r="AH37" s="37">
        <f t="shared" si="25"/>
        <v>6219.411940785893</v>
      </c>
      <c r="AI37" s="37">
        <f t="shared" si="26"/>
        <v>11700.542070316753</v>
      </c>
      <c r="AJ37" s="3">
        <f t="shared" si="7"/>
        <v>39563</v>
      </c>
    </row>
    <row r="38" spans="2:36" ht="12.75">
      <c r="B38" s="34" t="s">
        <v>1175</v>
      </c>
      <c r="C38" s="3" t="str">
        <f ca="1">OFFSET(SATemp!E$15,MATCH(SAData!$B36,SATemp!$C$10:$C$1239,0)-1,0)</f>
        <v>2749</v>
      </c>
      <c r="D38" s="3" t="str">
        <f ca="1">OFFSET(SATemp!F$15,MATCH(SAData!$B36,SATemp!$C$10:$C$1239,0)-1,0)</f>
        <v>6249</v>
      </c>
      <c r="E38" s="3" t="str">
        <f ca="1">OFFSET(SATemp!G$15,MATCH(SAData!$B36,SATemp!$C$10:$C$1239,0)-1,0)</f>
        <v>9699</v>
      </c>
      <c r="F38" s="61">
        <v>39563</v>
      </c>
      <c r="G38" t="str">
        <f ca="1">OFFSET($B$6,5*(ROWS(G$7:$L38)-1),0)</f>
        <v>Samoa</v>
      </c>
      <c r="H38" t="str">
        <f ca="1">MID(OFFSET($B$6,5*(ROWS(H$7:$L38)-1),1),2,3)</f>
        <v>WST</v>
      </c>
      <c r="I38">
        <v>7516.419362685478</v>
      </c>
      <c r="J38">
        <v>26251.520311359764</v>
      </c>
      <c r="K38">
        <v>35439.06592070056</v>
      </c>
      <c r="L38">
        <v>8190.221357333981</v>
      </c>
      <c r="M38">
        <v>29498.905375820967</v>
      </c>
      <c r="N38">
        <v>39824.8601313549</v>
      </c>
      <c r="O38">
        <v>9457.552906835319</v>
      </c>
      <c r="P38">
        <v>32340.063244952566</v>
      </c>
      <c r="Q38">
        <v>43658.477256142054</v>
      </c>
      <c r="S38">
        <f t="shared" si="2"/>
        <v>2.5478</v>
      </c>
      <c r="W38" s="41">
        <f t="shared" si="5"/>
        <v>19</v>
      </c>
      <c r="X38" s="37">
        <f>HLOOKUP('Star Alliance'!$AV$4,SAData!$AA$5:$AI$39,ROWS($X$7:X38)+2,FALSE)+CODE(LEFT(Y38))/10000</f>
        <v>11016.585357843522</v>
      </c>
      <c r="Y38" t="str">
        <f>PROPER(G38)</f>
        <v>Samoa</v>
      </c>
      <c r="AA38" s="37">
        <f aca="true" t="shared" si="27" ref="AA38:AI38">I38/$S38*$S$5</f>
        <v>1896.6582966757571</v>
      </c>
      <c r="AB38" s="37">
        <f t="shared" si="27"/>
        <v>6624.186517063031</v>
      </c>
      <c r="AC38" s="37">
        <f t="shared" si="27"/>
        <v>8942.529036980293</v>
      </c>
      <c r="AD38" s="37">
        <f t="shared" si="27"/>
        <v>2066.682357575169</v>
      </c>
      <c r="AE38" s="37">
        <f t="shared" si="27"/>
        <v>7443.616557859839</v>
      </c>
      <c r="AF38" s="37">
        <f t="shared" si="27"/>
        <v>10049.219946011486</v>
      </c>
      <c r="AG38" s="37">
        <f t="shared" si="27"/>
        <v>2386.474905331826</v>
      </c>
      <c r="AH38" s="37">
        <f t="shared" si="27"/>
        <v>8160.541117897796</v>
      </c>
      <c r="AI38" s="37">
        <f t="shared" si="27"/>
        <v>11016.577057843522</v>
      </c>
      <c r="AJ38" s="3">
        <f t="shared" si="7"/>
        <v>39563</v>
      </c>
    </row>
    <row r="39" spans="2:36" ht="12.75">
      <c r="B39" s="34" t="s">
        <v>1176</v>
      </c>
      <c r="C39" s="3" t="str">
        <f ca="1">OFFSET(SATemp!E$16,MATCH(SAData!$B36,SATemp!$C$10:$C$1239,0)-1,0)</f>
        <v>3249</v>
      </c>
      <c r="D39" s="3" t="str">
        <f ca="1">OFFSET(SATemp!F$16,MATCH(SAData!$B36,SATemp!$C$10:$C$1239,0)-1,0)</f>
        <v>7349</v>
      </c>
      <c r="E39" s="3" t="str">
        <f ca="1">OFFSET(SATemp!G$16,MATCH(SAData!$B36,SATemp!$C$10:$C$1239,0)-1,0)</f>
        <v>11449</v>
      </c>
      <c r="F39" s="61">
        <v>39563</v>
      </c>
      <c r="G39" t="str">
        <f ca="1">OFFSET($B$6,5*(ROWS(G$7:$L39)-1),0)</f>
        <v>Bulgaria</v>
      </c>
      <c r="H39" t="str">
        <f ca="1">MID(OFFSET($B$6,5*(ROWS(H$7:$L39)-1),1),2,3)</f>
        <v>EUR</v>
      </c>
      <c r="I39">
        <v>2370</v>
      </c>
      <c r="J39">
        <v>5340</v>
      </c>
      <c r="K39">
        <v>9999</v>
      </c>
      <c r="L39">
        <v>2910</v>
      </c>
      <c r="M39">
        <v>6150</v>
      </c>
      <c r="N39">
        <v>11549</v>
      </c>
      <c r="O39">
        <v>3410</v>
      </c>
      <c r="P39">
        <v>7250</v>
      </c>
      <c r="Q39">
        <v>13629</v>
      </c>
      <c r="S39">
        <f t="shared" si="2"/>
        <v>0.6429</v>
      </c>
      <c r="W39" s="41">
        <f t="shared" si="5"/>
        <v>8</v>
      </c>
      <c r="X39" s="37">
        <f>HLOOKUP('Star Alliance'!$AV$4,SAData!$AA$5:$AI$39,ROWS($X$7:X39)+2,FALSE)+CODE(LEFT(Y39))/10000</f>
        <v>13629.0066</v>
      </c>
      <c r="Y39" t="str">
        <f t="shared" si="17"/>
        <v>Bulgaria</v>
      </c>
      <c r="AA39" s="37">
        <f t="shared" si="18"/>
        <v>2370</v>
      </c>
      <c r="AB39" s="37">
        <f t="shared" si="19"/>
        <v>5340</v>
      </c>
      <c r="AC39" s="37">
        <f t="shared" si="20"/>
        <v>9999</v>
      </c>
      <c r="AD39" s="37">
        <f t="shared" si="21"/>
        <v>2910</v>
      </c>
      <c r="AE39" s="37">
        <f t="shared" si="22"/>
        <v>6150</v>
      </c>
      <c r="AF39" s="37">
        <f t="shared" si="23"/>
        <v>11549</v>
      </c>
      <c r="AG39" s="37">
        <f t="shared" si="24"/>
        <v>3410</v>
      </c>
      <c r="AH39" s="37">
        <f t="shared" si="25"/>
        <v>7250</v>
      </c>
      <c r="AI39" s="37">
        <f t="shared" si="26"/>
        <v>13629</v>
      </c>
      <c r="AJ39" s="3">
        <f t="shared" si="7"/>
        <v>39563</v>
      </c>
    </row>
    <row r="40" spans="6:36" ht="12.75">
      <c r="F40" s="61">
        <v>39563</v>
      </c>
      <c r="G40" t="str">
        <f ca="1">OFFSET($B$6,5*(ROWS(G$7:$L40)-1),0)</f>
        <v>Norway</v>
      </c>
      <c r="H40" t="str">
        <f ca="1">MID(OFFSET($B$6,5*(ROWS(H$7:$L40)-1),1),2,3)</f>
        <v>NOK</v>
      </c>
      <c r="I40">
        <v>19480</v>
      </c>
      <c r="J40">
        <v>43070</v>
      </c>
      <c r="K40">
        <v>82050</v>
      </c>
      <c r="L40">
        <v>23760</v>
      </c>
      <c r="M40">
        <v>49700</v>
      </c>
      <c r="N40">
        <v>94210</v>
      </c>
      <c r="O40">
        <v>27860</v>
      </c>
      <c r="P40">
        <v>58550</v>
      </c>
      <c r="Q40">
        <v>111170</v>
      </c>
      <c r="S40">
        <f t="shared" si="2"/>
        <v>5.1077</v>
      </c>
      <c r="W40" s="41">
        <f t="shared" si="5"/>
        <v>2</v>
      </c>
      <c r="X40" s="37">
        <f>HLOOKUP('Star Alliance'!$AV$4,SAData!$AA$5:$AI$40,ROWS($X$7:X40)+2,FALSE)+CODE(LEFT(Y40))/10000</f>
        <v>13992.840777661177</v>
      </c>
      <c r="Y40" t="str">
        <f>PROPER(G40)</f>
        <v>Norway</v>
      </c>
      <c r="AA40" s="37">
        <f aca="true" t="shared" si="28" ref="AA40:AI40">I40/$S40*$S$5</f>
        <v>2451.9239579458463</v>
      </c>
      <c r="AB40" s="37">
        <f t="shared" si="28"/>
        <v>5421.16862775809</v>
      </c>
      <c r="AC40" s="37">
        <f t="shared" si="28"/>
        <v>10327.533919376627</v>
      </c>
      <c r="AD40" s="37">
        <f t="shared" si="28"/>
        <v>2990.6423634904163</v>
      </c>
      <c r="AE40" s="37">
        <f t="shared" si="28"/>
        <v>6255.678681206805</v>
      </c>
      <c r="AF40" s="37">
        <f t="shared" si="28"/>
        <v>11858.098361297649</v>
      </c>
      <c r="AG40" s="37">
        <f t="shared" si="28"/>
        <v>3506.704387493392</v>
      </c>
      <c r="AH40" s="37">
        <f t="shared" si="28"/>
        <v>7369.617440335181</v>
      </c>
      <c r="AI40" s="37">
        <f t="shared" si="28"/>
        <v>13992.832977661177</v>
      </c>
      <c r="AJ40" s="3">
        <f t="shared" si="7"/>
        <v>39563</v>
      </c>
    </row>
    <row r="41" spans="2:4" ht="12.75">
      <c r="B41" s="33" t="s">
        <v>1397</v>
      </c>
      <c r="C41" s="3" t="str">
        <f ca="1">"("&amp;OFFSET(SATemp!$E$13,MATCH(SAData!$B41,SATemp!$C$10:$C$1239,0)-4,-4)&amp;")"</f>
        <v>(KRW)</v>
      </c>
      <c r="D41" s="45">
        <v>39297</v>
      </c>
    </row>
    <row r="42" spans="2:11" ht="12.75">
      <c r="B42" s="34" t="s">
        <v>1174</v>
      </c>
      <c r="C42" s="3">
        <v>2878700</v>
      </c>
      <c r="D42" s="3">
        <v>5686200</v>
      </c>
      <c r="E42" s="3">
        <v>8881400</v>
      </c>
      <c r="F42" s="3"/>
      <c r="G42" t="s">
        <v>1233</v>
      </c>
      <c r="H42" t="s">
        <v>1233</v>
      </c>
      <c r="K42" s="3"/>
    </row>
    <row r="43" spans="2:11" ht="12.75">
      <c r="B43" s="34" t="s">
        <v>1175</v>
      </c>
      <c r="C43" s="3">
        <v>3310400</v>
      </c>
      <c r="D43" s="3">
        <v>6539200</v>
      </c>
      <c r="E43" s="3">
        <v>10213800</v>
      </c>
      <c r="F43" s="3"/>
      <c r="G43" t="s">
        <v>1028</v>
      </c>
      <c r="H43" t="s">
        <v>1028</v>
      </c>
      <c r="K43" s="3"/>
    </row>
    <row r="44" spans="2:11" ht="12.75">
      <c r="B44" s="34" t="s">
        <v>1176</v>
      </c>
      <c r="C44" s="3">
        <v>3886200</v>
      </c>
      <c r="D44" s="3">
        <v>7676500</v>
      </c>
      <c r="E44" s="3">
        <v>11990000</v>
      </c>
      <c r="F44" s="3"/>
      <c r="G44" t="s">
        <v>1409</v>
      </c>
      <c r="K44" s="3"/>
    </row>
    <row r="45" spans="7:11" ht="12.75">
      <c r="G45" t="s">
        <v>1030</v>
      </c>
      <c r="H45" t="s">
        <v>1030</v>
      </c>
      <c r="K45" s="3"/>
    </row>
    <row r="46" spans="2:11" ht="12.75">
      <c r="B46" s="33" t="s">
        <v>1402</v>
      </c>
      <c r="C46" s="3" t="s">
        <v>1183</v>
      </c>
      <c r="D46" s="45">
        <v>39297</v>
      </c>
      <c r="G46" t="s">
        <v>1392</v>
      </c>
      <c r="H46" t="s">
        <v>1392</v>
      </c>
      <c r="K46" s="3"/>
    </row>
    <row r="47" spans="2:11" ht="12.75">
      <c r="B47" s="34" t="s">
        <v>1174</v>
      </c>
      <c r="C47" s="3">
        <v>2700</v>
      </c>
      <c r="D47" s="3">
        <v>5953</v>
      </c>
      <c r="E47" s="3">
        <v>10169</v>
      </c>
      <c r="F47" s="3"/>
      <c r="G47" t="s">
        <v>1413</v>
      </c>
      <c r="H47" t="s">
        <v>1413</v>
      </c>
      <c r="K47" s="3"/>
    </row>
    <row r="48" spans="2:11" ht="12.75">
      <c r="B48" s="34" t="s">
        <v>1175</v>
      </c>
      <c r="C48" s="3">
        <v>3103</v>
      </c>
      <c r="D48" s="3">
        <v>6853</v>
      </c>
      <c r="E48" s="3">
        <v>11696</v>
      </c>
      <c r="F48" s="3"/>
      <c r="G48" t="s">
        <v>1017</v>
      </c>
      <c r="H48" t="s">
        <v>1017</v>
      </c>
      <c r="K48" s="3"/>
    </row>
    <row r="49" spans="2:11" ht="12.75">
      <c r="B49" s="34" t="s">
        <v>1176</v>
      </c>
      <c r="C49" s="3">
        <v>3643</v>
      </c>
      <c r="D49" s="3">
        <v>8038</v>
      </c>
      <c r="E49" s="3">
        <v>13728</v>
      </c>
      <c r="F49" s="3"/>
      <c r="G49" t="s">
        <v>1017</v>
      </c>
      <c r="K49" s="3"/>
    </row>
    <row r="50" spans="7:11" ht="12.75">
      <c r="G50" t="s">
        <v>1201</v>
      </c>
      <c r="H50" t="s">
        <v>1201</v>
      </c>
      <c r="K50" s="3"/>
    </row>
    <row r="51" spans="2:8" ht="12.75">
      <c r="B51" s="33" t="s">
        <v>1398</v>
      </c>
      <c r="C51" s="3" t="str">
        <f ca="1">"("&amp;OFFSET(SATemp!$E$13,MATCH(SAData!$B51,SATemp!$C$10:$C$1239,0)-4,-4)&amp;")"</f>
        <v>(MYR)</v>
      </c>
      <c r="G51" t="s">
        <v>1179</v>
      </c>
      <c r="H51" t="s">
        <v>1179</v>
      </c>
    </row>
    <row r="52" spans="2:8" ht="12.75">
      <c r="B52" s="34" t="s">
        <v>1174</v>
      </c>
      <c r="C52" s="3" t="str">
        <f ca="1">OFFSET(SATemp!E$14,MATCH(SAData!$B51,SATemp!$C$10:$C$1239,0)-1,0)</f>
        <v>11320</v>
      </c>
      <c r="D52" s="3" t="str">
        <f ca="1">OFFSET(SATemp!F$14,MATCH(SAData!$B51,SATemp!$C$10:$C$1239,0)-1,0)</f>
        <v>22880</v>
      </c>
      <c r="E52" s="3" t="str">
        <f ca="1">OFFSET(SATemp!G$14,MATCH(SAData!$B51,SATemp!$C$10:$C$1239,0)-1,0)</f>
        <v>33890</v>
      </c>
      <c r="F52" s="3"/>
      <c r="G52" t="s">
        <v>1203</v>
      </c>
      <c r="H52" t="s">
        <v>1203</v>
      </c>
    </row>
    <row r="53" spans="2:8" ht="12.75">
      <c r="B53" s="34" t="s">
        <v>1175</v>
      </c>
      <c r="C53" s="3" t="str">
        <f ca="1">OFFSET(SATemp!E$15,MATCH(SAData!$B51,SATemp!$C$10:$C$1239,0)-1,0)</f>
        <v>13030</v>
      </c>
      <c r="D53" s="3" t="str">
        <f ca="1">OFFSET(SATemp!F$15,MATCH(SAData!$B51,SATemp!$C$10:$C$1239,0)-1,0)</f>
        <v>26340</v>
      </c>
      <c r="E53" s="3" t="str">
        <f ca="1">OFFSET(SATemp!G$15,MATCH(SAData!$B51,SATemp!$C$10:$C$1239,0)-1,0)</f>
        <v>39050</v>
      </c>
      <c r="F53" s="3"/>
      <c r="G53" t="s">
        <v>1393</v>
      </c>
      <c r="H53" t="s">
        <v>1393</v>
      </c>
    </row>
    <row r="54" spans="2:8" ht="12.75">
      <c r="B54" s="34" t="s">
        <v>1176</v>
      </c>
      <c r="C54" s="3" t="str">
        <f ca="1">OFFSET(SATemp!E$16,MATCH(SAData!$B51,SATemp!$C$10:$C$1239,0)-1,0)</f>
        <v>15250</v>
      </c>
      <c r="D54" s="3" t="str">
        <f ca="1">OFFSET(SATemp!F$16,MATCH(SAData!$B51,SATemp!$C$10:$C$1239,0)-1,0)</f>
        <v>30960</v>
      </c>
      <c r="E54" s="3" t="str">
        <f ca="1">OFFSET(SATemp!G$16,MATCH(SAData!$B51,SATemp!$C$10:$C$1239,0)-1,0)</f>
        <v>45750</v>
      </c>
      <c r="F54" s="3"/>
      <c r="G54" t="s">
        <v>1394</v>
      </c>
      <c r="H54" t="s">
        <v>1394</v>
      </c>
    </row>
    <row r="55" spans="7:8" ht="12.75">
      <c r="G55" t="s">
        <v>1395</v>
      </c>
      <c r="H55" t="s">
        <v>1395</v>
      </c>
    </row>
    <row r="56" spans="2:7" ht="12.75">
      <c r="B56" s="33" t="s">
        <v>1394</v>
      </c>
      <c r="C56" s="3" t="str">
        <f ca="1">"("&amp;OFFSET(SATemp!$E$13,MATCH(SAData!$B56,SATemp!$C$10:$C$1239,0)-4,-4)&amp;")"</f>
        <v>(INR)</v>
      </c>
      <c r="D56" s="45">
        <v>39297</v>
      </c>
      <c r="G56" t="s">
        <v>1019</v>
      </c>
    </row>
    <row r="57" spans="2:8" ht="12.75">
      <c r="B57" s="34" t="s">
        <v>1174</v>
      </c>
      <c r="C57" s="3">
        <v>118880</v>
      </c>
      <c r="D57" s="3">
        <v>262200</v>
      </c>
      <c r="E57" s="3">
        <v>447930</v>
      </c>
      <c r="F57" s="3"/>
      <c r="G57" t="s">
        <v>1396</v>
      </c>
      <c r="H57" t="s">
        <v>1396</v>
      </c>
    </row>
    <row r="58" spans="2:8" ht="12.75">
      <c r="B58" s="34" t="s">
        <v>1175</v>
      </c>
      <c r="C58" s="3">
        <v>136620</v>
      </c>
      <c r="D58" s="3">
        <v>301880</v>
      </c>
      <c r="E58" s="3">
        <v>515200</v>
      </c>
      <c r="F58" s="3"/>
      <c r="G58" t="s">
        <v>1397</v>
      </c>
      <c r="H58" t="s">
        <v>1397</v>
      </c>
    </row>
    <row r="59" spans="2:8" ht="12.75">
      <c r="B59" s="34" t="s">
        <v>1176</v>
      </c>
      <c r="C59" s="3">
        <v>160425</v>
      </c>
      <c r="D59" s="3">
        <v>354090</v>
      </c>
      <c r="E59" s="3">
        <v>604670</v>
      </c>
      <c r="F59" s="3"/>
      <c r="G59" t="s">
        <v>1424</v>
      </c>
      <c r="H59" t="s">
        <v>1424</v>
      </c>
    </row>
    <row r="60" ht="12.75">
      <c r="G60" t="s">
        <v>1022</v>
      </c>
    </row>
    <row r="61" spans="2:8" ht="12.75">
      <c r="B61" s="33" t="s">
        <v>1010</v>
      </c>
      <c r="C61" s="3" t="str">
        <f ca="1">"("&amp;OFFSET(SATemp!$E$13,MATCH(SAData!$B61,SATemp!$C$10:$C$1239,0)-4,-4)&amp;")"</f>
        <v>(SEK)</v>
      </c>
      <c r="D61" s="45">
        <v>39297</v>
      </c>
      <c r="G61" t="s">
        <v>1398</v>
      </c>
      <c r="H61" t="s">
        <v>1398</v>
      </c>
    </row>
    <row r="62" spans="2:8" ht="12.75">
      <c r="B62" s="34" t="s">
        <v>1174</v>
      </c>
      <c r="C62" s="3">
        <v>21360</v>
      </c>
      <c r="D62" s="3">
        <v>47370</v>
      </c>
      <c r="E62" s="3">
        <v>94430</v>
      </c>
      <c r="F62" s="3"/>
      <c r="G62" t="s">
        <v>1029</v>
      </c>
      <c r="H62" t="s">
        <v>1029</v>
      </c>
    </row>
    <row r="63" spans="2:8" ht="12.75">
      <c r="B63" s="34" t="s">
        <v>1175</v>
      </c>
      <c r="C63" s="3">
        <v>26050</v>
      </c>
      <c r="D63" s="3">
        <v>54660</v>
      </c>
      <c r="E63" s="3">
        <v>108420</v>
      </c>
      <c r="F63" s="3"/>
      <c r="G63" t="s">
        <v>1005</v>
      </c>
      <c r="H63" t="s">
        <v>1005</v>
      </c>
    </row>
    <row r="64" spans="2:7" ht="12.75">
      <c r="B64" s="34" t="s">
        <v>1176</v>
      </c>
      <c r="C64" s="3">
        <v>30530</v>
      </c>
      <c r="D64" s="3">
        <v>64930</v>
      </c>
      <c r="E64" s="3">
        <v>127950</v>
      </c>
      <c r="F64" s="3"/>
      <c r="G64" t="s">
        <v>1248</v>
      </c>
    </row>
    <row r="65" spans="7:8" ht="12.75">
      <c r="G65" t="s">
        <v>1401</v>
      </c>
      <c r="H65" t="s">
        <v>1401</v>
      </c>
    </row>
    <row r="66" spans="2:8" ht="12.75">
      <c r="B66" s="33" t="s">
        <v>1392</v>
      </c>
      <c r="C66" s="3" t="str">
        <f ca="1">"("&amp;OFFSET(SATemp!$E$13,MATCH(SAData!$B66,SATemp!$C$10:$C$1239,0)-4,-4)&amp;")"</f>
        <v>(CNY)</v>
      </c>
      <c r="D66" s="45">
        <v>39297</v>
      </c>
      <c r="G66" t="s">
        <v>1386</v>
      </c>
      <c r="H66" t="s">
        <v>1386</v>
      </c>
    </row>
    <row r="67" spans="2:8" ht="12.75">
      <c r="B67" s="34" t="s">
        <v>1174</v>
      </c>
      <c r="C67" s="3">
        <v>23950</v>
      </c>
      <c r="D67" s="3">
        <v>52780</v>
      </c>
      <c r="E67" s="3">
        <v>81280</v>
      </c>
      <c r="F67" s="3"/>
      <c r="G67" t="s">
        <v>1402</v>
      </c>
      <c r="H67" t="s">
        <v>1402</v>
      </c>
    </row>
    <row r="68" spans="2:8" ht="12.75">
      <c r="B68" s="34" t="s">
        <v>1175</v>
      </c>
      <c r="C68" s="3">
        <v>27540</v>
      </c>
      <c r="D68" s="3">
        <v>60710</v>
      </c>
      <c r="E68" s="3">
        <v>93460</v>
      </c>
      <c r="F68" s="3"/>
      <c r="G68" t="s">
        <v>1010</v>
      </c>
      <c r="H68" t="s">
        <v>1010</v>
      </c>
    </row>
    <row r="69" spans="2:8" ht="12.75">
      <c r="B69" s="34" t="s">
        <v>1176</v>
      </c>
      <c r="C69" s="3">
        <v>32340</v>
      </c>
      <c r="D69" s="3">
        <v>71270</v>
      </c>
      <c r="E69" s="3">
        <v>109730</v>
      </c>
      <c r="F69" s="3"/>
      <c r="G69" s="34" t="s">
        <v>1011</v>
      </c>
      <c r="H69" t="s">
        <v>1011</v>
      </c>
    </row>
    <row r="70" spans="7:8" ht="12.75">
      <c r="G70" s="34" t="s">
        <v>1403</v>
      </c>
      <c r="H70" t="s">
        <v>1403</v>
      </c>
    </row>
    <row r="71" spans="2:8" ht="12.75">
      <c r="B71" s="33" t="s">
        <v>1393</v>
      </c>
      <c r="C71" s="3" t="str">
        <f ca="1">"("&amp;OFFSET(SATemp!$E$13,MATCH(SAData!$B71,SATemp!$C$10:$C$1239,0)-4,-4)&amp;")"</f>
        <v>(HKD)</v>
      </c>
      <c r="D71" s="45">
        <v>39297</v>
      </c>
      <c r="G71" s="34" t="s">
        <v>1404</v>
      </c>
      <c r="H71" t="s">
        <v>1404</v>
      </c>
    </row>
    <row r="72" spans="2:8" ht="12.75">
      <c r="B72" s="34" t="s">
        <v>1174</v>
      </c>
      <c r="C72" s="3">
        <v>23180</v>
      </c>
      <c r="D72" s="3">
        <v>49680</v>
      </c>
      <c r="E72" s="3">
        <v>70400</v>
      </c>
      <c r="F72" s="3"/>
      <c r="G72" t="s">
        <v>1177</v>
      </c>
      <c r="H72" t="s">
        <v>1177</v>
      </c>
    </row>
    <row r="73" spans="2:8" ht="12.75">
      <c r="B73" s="34" t="s">
        <v>1175</v>
      </c>
      <c r="C73" s="3">
        <v>27990</v>
      </c>
      <c r="D73" s="3">
        <v>57150</v>
      </c>
      <c r="E73" s="3">
        <v>80950</v>
      </c>
      <c r="F73" s="3"/>
      <c r="G73" t="s">
        <v>1013</v>
      </c>
      <c r="H73" t="s">
        <v>1013</v>
      </c>
    </row>
    <row r="74" spans="2:7" ht="12.75">
      <c r="B74" s="34" t="s">
        <v>1176</v>
      </c>
      <c r="C74" s="3">
        <v>32850</v>
      </c>
      <c r="D74" s="3">
        <v>67090</v>
      </c>
      <c r="E74" s="3">
        <v>95040</v>
      </c>
      <c r="F74" s="3"/>
      <c r="G74" t="s">
        <v>1525</v>
      </c>
    </row>
    <row r="75" spans="7:8" ht="12.75">
      <c r="G75" t="s">
        <v>1198</v>
      </c>
      <c r="H75" t="s">
        <v>1198</v>
      </c>
    </row>
    <row r="76" spans="2:4" ht="12.75">
      <c r="B76" s="33" t="s">
        <v>1413</v>
      </c>
      <c r="C76" s="3" t="str">
        <f ca="1">"("&amp;OFFSET(SATemp!$E$13,MATCH(SAData!$B76,SATemp!$C$10:$C$1239,0)-4,-4)&amp;")"</f>
        <v>(DKK)</v>
      </c>
      <c r="D76" s="45">
        <v>39297</v>
      </c>
    </row>
    <row r="77" spans="2:6" ht="12.75">
      <c r="B77" s="34" t="s">
        <v>1174</v>
      </c>
      <c r="C77" s="3">
        <v>15745</v>
      </c>
      <c r="D77" s="3">
        <v>38660</v>
      </c>
      <c r="E77" s="3">
        <v>74930</v>
      </c>
      <c r="F77" s="3"/>
    </row>
    <row r="78" spans="2:6" ht="12.75">
      <c r="B78" s="34" t="s">
        <v>1175</v>
      </c>
      <c r="C78" s="3">
        <v>19200</v>
      </c>
      <c r="D78" s="3">
        <v>44610</v>
      </c>
      <c r="E78" s="3">
        <v>86030</v>
      </c>
      <c r="F78" s="3"/>
    </row>
    <row r="79" spans="2:6" ht="12.75">
      <c r="B79" s="34" t="s">
        <v>1176</v>
      </c>
      <c r="C79" s="3">
        <v>22495</v>
      </c>
      <c r="D79" s="3">
        <v>52560</v>
      </c>
      <c r="E79" s="3">
        <v>101520</v>
      </c>
      <c r="F79" s="3"/>
    </row>
    <row r="81" spans="2:3" ht="12.75">
      <c r="B81" s="33" t="s">
        <v>1424</v>
      </c>
      <c r="C81" s="3" t="str">
        <f ca="1">"("&amp;OFFSET(SATemp!$E$13,MATCH(SAData!$B81,SATemp!$C$10:$C$1239,0)-4,-4)&amp;")"</f>
        <v>(LVL)</v>
      </c>
    </row>
    <row r="82" spans="2:6" ht="12.75">
      <c r="B82" s="34" t="s">
        <v>1174</v>
      </c>
      <c r="C82" s="3" t="str">
        <f ca="1">OFFSET(SATemp!E$14,MATCH(SAData!$B81,SATemp!$C$10:$C$1239,0)-1,0)</f>
        <v>1590</v>
      </c>
      <c r="D82" s="3" t="str">
        <f ca="1">OFFSET(SATemp!F$14,MATCH(SAData!$B81,SATemp!$C$10:$C$1239,0)-1,0)</f>
        <v>3480</v>
      </c>
      <c r="E82" s="3" t="str">
        <f ca="1">OFFSET(SATemp!G$14,MATCH(SAData!$B81,SATemp!$C$10:$C$1239,0)-1,0)</f>
        <v>5010</v>
      </c>
      <c r="F82" s="3"/>
    </row>
    <row r="83" spans="2:6" ht="12.75">
      <c r="B83" s="34" t="s">
        <v>1175</v>
      </c>
      <c r="C83" s="3" t="str">
        <f ca="1">OFFSET(SATemp!E$15,MATCH(SAData!$B81,SATemp!$C$10:$C$1239,0)-1,0)</f>
        <v>1830</v>
      </c>
      <c r="D83" s="3" t="str">
        <f ca="1">OFFSET(SATemp!F$15,MATCH(SAData!$B81,SATemp!$C$10:$C$1239,0)-1,0)</f>
        <v>4010</v>
      </c>
      <c r="E83" s="3" t="str">
        <f ca="1">OFFSET(SATemp!G$15,MATCH(SAData!$B81,SATemp!$C$10:$C$1239,0)-1,0)</f>
        <v>5770</v>
      </c>
      <c r="F83" s="3"/>
    </row>
    <row r="84" spans="2:6" ht="12.75">
      <c r="B84" s="34" t="s">
        <v>1176</v>
      </c>
      <c r="C84" s="3" t="str">
        <f ca="1">OFFSET(SATemp!E$16,MATCH(SAData!$B81,SATemp!$C$10:$C$1239,0)-1,0)</f>
        <v>2150</v>
      </c>
      <c r="D84" s="3" t="str">
        <f ca="1">OFFSET(SATemp!F$16,MATCH(SAData!$B81,SATemp!$C$10:$C$1239,0)-1,0)</f>
        <v>4700</v>
      </c>
      <c r="E84" s="3" t="str">
        <f ca="1">OFFSET(SATemp!G$16,MATCH(SAData!$B81,SATemp!$C$10:$C$1239,0)-1,0)</f>
        <v>6770</v>
      </c>
      <c r="F84" s="3"/>
    </row>
    <row r="86" spans="2:3" ht="12.75">
      <c r="B86" s="33" t="s">
        <v>1401</v>
      </c>
      <c r="C86" s="3" t="str">
        <f ca="1">"("&amp;OFFSET(SATemp!$E$13,MATCH(SAData!$B86,SATemp!$C$10:$C$1239,0)-4,-4)&amp;")"</f>
        <v>(SGD)</v>
      </c>
    </row>
    <row r="87" spans="2:6" ht="12.75">
      <c r="B87" s="34" t="s">
        <v>1174</v>
      </c>
      <c r="C87" s="3" t="str">
        <f ca="1">OFFSET(SATemp!E$14,MATCH(SAData!$B86,SATemp!$C$10:$C$1239,0)-1,0)</f>
        <v>5000</v>
      </c>
      <c r="D87" s="3" t="str">
        <f ca="1">OFFSET(SATemp!F$14,MATCH(SAData!$B86,SATemp!$C$10:$C$1239,0)-1,0)</f>
        <v>10500</v>
      </c>
      <c r="E87" s="3" t="str">
        <f ca="1">OFFSET(SATemp!G$14,MATCH(SAData!$B86,SATemp!$C$10:$C$1239,0)-1,0)</f>
        <v>15600</v>
      </c>
      <c r="F87" s="3"/>
    </row>
    <row r="88" spans="2:6" ht="12.75">
      <c r="B88" s="34" t="s">
        <v>1175</v>
      </c>
      <c r="C88" s="3" t="str">
        <f ca="1">OFFSET(SATemp!E$15,MATCH(SAData!$B86,SATemp!$C$10:$C$1239,0)-1,0)</f>
        <v>5800</v>
      </c>
      <c r="D88" s="3" t="str">
        <f ca="1">OFFSET(SATemp!F$15,MATCH(SAData!$B86,SATemp!$C$10:$C$1239,0)-1,0)</f>
        <v>12100</v>
      </c>
      <c r="E88" s="3" t="str">
        <f ca="1">OFFSET(SATemp!G$15,MATCH(SAData!$B86,SATemp!$C$10:$C$1239,0)-1,0)</f>
        <v>18000</v>
      </c>
      <c r="F88" s="3"/>
    </row>
    <row r="89" spans="2:6" ht="12.75">
      <c r="B89" s="34" t="s">
        <v>1176</v>
      </c>
      <c r="C89" s="3" t="str">
        <f ca="1">OFFSET(SATemp!E$16,MATCH(SAData!$B86,SATemp!$C$10:$C$1239,0)-1,0)</f>
        <v>6700</v>
      </c>
      <c r="D89" s="3" t="str">
        <f ca="1">OFFSET(SATemp!F$16,MATCH(SAData!$B86,SATemp!$C$10:$C$1239,0)-1,0)</f>
        <v>14300</v>
      </c>
      <c r="E89" s="3" t="str">
        <f ca="1">OFFSET(SATemp!G$16,MATCH(SAData!$B86,SATemp!$C$10:$C$1239,0)-1,0)</f>
        <v>21100</v>
      </c>
      <c r="F89" s="3"/>
    </row>
    <row r="91" spans="2:4" ht="12.75">
      <c r="B91" s="33" t="s">
        <v>1386</v>
      </c>
      <c r="C91" s="3" t="str">
        <f ca="1">"("&amp;OFFSET(SATemp!$E$13,MATCH(SAData!$B91,SATemp!$C$10:$C$1239,0)-4,-4)&amp;")"</f>
        <v>(ZAR)</v>
      </c>
      <c r="D91" s="45">
        <v>39297</v>
      </c>
    </row>
    <row r="92" spans="2:6" ht="12.75">
      <c r="B92" s="34" t="s">
        <v>1174</v>
      </c>
      <c r="C92" s="3">
        <v>17370</v>
      </c>
      <c r="D92" s="3">
        <v>41920</v>
      </c>
      <c r="E92" s="3">
        <v>63410</v>
      </c>
      <c r="F92" s="3"/>
    </row>
    <row r="93" spans="2:6" ht="12.75">
      <c r="B93" s="34" t="s">
        <v>1175</v>
      </c>
      <c r="C93" s="3">
        <v>19960</v>
      </c>
      <c r="D93" s="3">
        <v>48200</v>
      </c>
      <c r="E93" s="3">
        <v>72910</v>
      </c>
      <c r="F93" s="3"/>
    </row>
    <row r="94" spans="2:6" ht="12.75">
      <c r="B94" s="34" t="s">
        <v>1176</v>
      </c>
      <c r="C94" s="3">
        <v>23420</v>
      </c>
      <c r="D94" s="3">
        <v>56630</v>
      </c>
      <c r="E94" s="3">
        <v>85550</v>
      </c>
      <c r="F94" s="3"/>
    </row>
    <row r="96" spans="2:4" ht="12.75">
      <c r="B96" s="33" t="s">
        <v>1029</v>
      </c>
      <c r="C96" s="3" t="str">
        <f ca="1">"("&amp;OFFSET(SATemp!$E$13,MATCH(SAData!$B96,SATemp!$C$10:$C$1239,0)-4,-4)&amp;")"</f>
        <v>(NZD)</v>
      </c>
      <c r="D96" s="45">
        <v>39297</v>
      </c>
    </row>
    <row r="97" spans="2:6" ht="12.75">
      <c r="B97" s="34" t="s">
        <v>1174</v>
      </c>
      <c r="C97" s="3" t="str">
        <f ca="1">OFFSET(SATemp!E$14,MATCH(SAData!$B96,SATemp!$C$10:$C$1239,0)-1,0)</f>
        <v>4179</v>
      </c>
      <c r="D97" s="3">
        <v>11745</v>
      </c>
      <c r="E97" s="3">
        <v>15140</v>
      </c>
      <c r="F97" s="3"/>
    </row>
    <row r="98" spans="2:6" ht="12.75">
      <c r="B98" s="34" t="s">
        <v>1175</v>
      </c>
      <c r="C98" s="3" t="str">
        <f ca="1">OFFSET(SATemp!E$15,MATCH(SAData!$B96,SATemp!$C$10:$C$1239,0)-1,0)</f>
        <v>4509</v>
      </c>
      <c r="D98" s="3">
        <v>13337</v>
      </c>
      <c r="E98" s="3">
        <v>17450</v>
      </c>
      <c r="F98" s="3"/>
    </row>
    <row r="99" spans="2:6" ht="12.75">
      <c r="B99" s="34" t="s">
        <v>1176</v>
      </c>
      <c r="C99" s="3" t="str">
        <f ca="1">OFFSET(SATemp!E$16,MATCH(SAData!$B96,SATemp!$C$10:$C$1239,0)-1,0)</f>
        <v>5129</v>
      </c>
      <c r="D99" s="3">
        <v>14727</v>
      </c>
      <c r="E99" s="3">
        <v>18619</v>
      </c>
      <c r="F99" s="3"/>
    </row>
    <row r="101" spans="2:4" ht="12.75">
      <c r="B101" s="33" t="s">
        <v>1396</v>
      </c>
      <c r="C101" s="3" t="str">
        <f ca="1">"("&amp;OFFSET(SATemp!$E$13,MATCH(SAData!$B101,SATemp!$C$10:$C$1239,0)-4,-4)&amp;")"</f>
        <v>(JPY)</v>
      </c>
      <c r="D101" s="45">
        <v>39297</v>
      </c>
    </row>
    <row r="102" spans="2:6" ht="12.75">
      <c r="B102" s="34" t="s">
        <v>1174</v>
      </c>
      <c r="C102" s="3" t="str">
        <f ca="1">OFFSET(SATemp!E$14,MATCH(SAData!$B101,SATemp!$C$10:$C$1239,0)-1,0)</f>
        <v>335000</v>
      </c>
      <c r="D102" s="3">
        <v>656300</v>
      </c>
      <c r="E102" s="3">
        <v>955500</v>
      </c>
      <c r="F102" s="3"/>
    </row>
    <row r="103" spans="2:5" ht="12.75">
      <c r="B103" s="34" t="s">
        <v>1175</v>
      </c>
      <c r="C103" s="3">
        <v>404300</v>
      </c>
      <c r="D103" s="3">
        <v>790900</v>
      </c>
      <c r="E103" s="3">
        <v>1151700</v>
      </c>
    </row>
    <row r="104" spans="2:5" ht="12.75">
      <c r="B104" s="34" t="s">
        <v>1176</v>
      </c>
      <c r="C104" s="3">
        <v>474600</v>
      </c>
      <c r="D104" s="3">
        <v>928400</v>
      </c>
      <c r="E104" s="3">
        <v>1351900</v>
      </c>
    </row>
    <row r="106" spans="2:4" ht="12.75">
      <c r="B106" s="33" t="s">
        <v>1028</v>
      </c>
      <c r="C106" s="3" t="str">
        <f ca="1">"("&amp;OFFSET(SATemp!$E$13,MATCH(SAData!$B106,SATemp!$C$10:$C$1239,0)-4,-4)&amp;")"</f>
        <v>(AUD)</v>
      </c>
      <c r="D106" s="45">
        <v>39297</v>
      </c>
    </row>
    <row r="107" spans="2:5" ht="12.75">
      <c r="B107" s="34" t="s">
        <v>1174</v>
      </c>
      <c r="C107" s="3">
        <v>3229</v>
      </c>
      <c r="D107" s="3">
        <v>9989</v>
      </c>
      <c r="E107" s="3">
        <v>14069</v>
      </c>
    </row>
    <row r="108" spans="2:5" ht="12.75">
      <c r="B108" s="34" t="s">
        <v>1175</v>
      </c>
      <c r="C108" s="3">
        <v>3779</v>
      </c>
      <c r="D108" s="3">
        <v>11129</v>
      </c>
      <c r="E108" s="3">
        <v>15109</v>
      </c>
    </row>
    <row r="109" spans="2:5" ht="12.75">
      <c r="B109" s="34" t="s">
        <v>1176</v>
      </c>
      <c r="C109" s="3">
        <v>4409</v>
      </c>
      <c r="D109" s="3">
        <v>12519</v>
      </c>
      <c r="E109" s="3">
        <v>16149</v>
      </c>
    </row>
    <row r="111" spans="2:4" ht="12.75">
      <c r="B111" s="33" t="s">
        <v>1198</v>
      </c>
      <c r="C111" s="3" t="str">
        <f ca="1">"("&amp;OFFSET(SATemp!$E$13,MATCH(SAData!$B111,SATemp!$C$10:$C$1239,0)-4,-4)&amp;")"</f>
        <v>(USD)</v>
      </c>
      <c r="D111" s="45">
        <v>39297</v>
      </c>
    </row>
    <row r="112" spans="2:14" ht="12.75">
      <c r="B112" s="34" t="s">
        <v>1170</v>
      </c>
      <c r="C112" s="3">
        <v>3662</v>
      </c>
      <c r="D112" s="3">
        <v>7880</v>
      </c>
      <c r="E112" s="3">
        <v>11440</v>
      </c>
      <c r="L112">
        <v>2889</v>
      </c>
      <c r="M112">
        <v>8399</v>
      </c>
      <c r="N112">
        <v>11599</v>
      </c>
    </row>
    <row r="113" spans="2:14" ht="12.75">
      <c r="B113" s="34" t="s">
        <v>1171</v>
      </c>
      <c r="C113" s="3">
        <v>4218</v>
      </c>
      <c r="D113" s="3">
        <v>9013</v>
      </c>
      <c r="E113" s="3">
        <v>13090</v>
      </c>
      <c r="L113">
        <v>3399</v>
      </c>
      <c r="M113">
        <v>9199</v>
      </c>
      <c r="N113">
        <v>12899</v>
      </c>
    </row>
    <row r="114" spans="2:14" ht="12.75">
      <c r="B114" s="34" t="s">
        <v>1172</v>
      </c>
      <c r="C114" s="3">
        <v>4960</v>
      </c>
      <c r="D114" s="3">
        <v>10558</v>
      </c>
      <c r="E114" s="3">
        <v>15400</v>
      </c>
      <c r="L114">
        <v>3999</v>
      </c>
      <c r="M114">
        <v>10599</v>
      </c>
      <c r="N114">
        <v>14499</v>
      </c>
    </row>
    <row r="116" spans="2:4" ht="12.75">
      <c r="B116" s="33" t="s">
        <v>1011</v>
      </c>
      <c r="C116" s="3" t="str">
        <f ca="1">"("&amp;OFFSET(SATemp!$E$13,MATCH(SAData!$B116,SATemp!$C$10:$C$1239,0)-4,-4)&amp;")"</f>
        <v>(CHF)</v>
      </c>
      <c r="D116" s="45">
        <v>39297</v>
      </c>
    </row>
    <row r="117" spans="2:5" ht="12.75">
      <c r="B117" s="34" t="s">
        <v>1174</v>
      </c>
      <c r="C117" s="3">
        <v>4200</v>
      </c>
      <c r="D117" s="3">
        <v>9400</v>
      </c>
      <c r="E117" s="3">
        <v>16600</v>
      </c>
    </row>
    <row r="118" spans="2:5" ht="12.75">
      <c r="B118" s="34" t="s">
        <v>1175</v>
      </c>
      <c r="C118" s="3">
        <v>5100</v>
      </c>
      <c r="D118" s="3">
        <v>10800</v>
      </c>
      <c r="E118" s="3">
        <v>19000</v>
      </c>
    </row>
    <row r="119" spans="2:5" ht="12.75">
      <c r="B119" s="34" t="s">
        <v>1176</v>
      </c>
      <c r="C119" s="3">
        <v>5900</v>
      </c>
      <c r="D119" s="3">
        <v>12800</v>
      </c>
      <c r="E119" s="3">
        <v>22500</v>
      </c>
    </row>
    <row r="121" spans="2:3" ht="12.75">
      <c r="B121" s="33" t="s">
        <v>1030</v>
      </c>
      <c r="C121" s="3" t="str">
        <f ca="1">"("&amp;OFFSET(SATemp!$E$13,MATCH(SAData!$B121,SATemp!$C$10:$C$1239,0)-4,-4)&amp;")"</f>
        <v>(CAD)</v>
      </c>
    </row>
    <row r="122" spans="2:5" ht="12.75">
      <c r="B122" s="34" t="s">
        <v>1174</v>
      </c>
      <c r="C122" s="3" t="str">
        <f ca="1">OFFSET(SATemp!E$14,MATCH(SAData!$B121,SATemp!$C$10:$C$1239,0)-1,0)</f>
        <v>4599</v>
      </c>
      <c r="D122" s="3" t="str">
        <f ca="1">OFFSET(SATemp!F$14,MATCH(SAData!$B121,SATemp!$C$10:$C$1239,0)-1,0)</f>
        <v>9599</v>
      </c>
      <c r="E122" s="3" t="str">
        <f ca="1">OFFSET(SATemp!G$14,MATCH(SAData!$B121,SATemp!$C$10:$C$1239,0)-1,0)</f>
        <v>13599</v>
      </c>
    </row>
    <row r="123" spans="2:5" ht="12.75">
      <c r="B123" s="34" t="s">
        <v>1175</v>
      </c>
      <c r="C123" s="3" t="str">
        <f ca="1">OFFSET(SATemp!E$15,MATCH(SAData!$B121,SATemp!$C$10:$C$1239,0)-1,0)</f>
        <v>5249</v>
      </c>
      <c r="D123" s="3" t="str">
        <f ca="1">OFFSET(SATemp!F$15,MATCH(SAData!$B121,SATemp!$C$10:$C$1239,0)-1,0)</f>
        <v>11549</v>
      </c>
      <c r="E123" s="3" t="str">
        <f ca="1">OFFSET(SATemp!G$15,MATCH(SAData!$B121,SATemp!$C$10:$C$1239,0)-1,0)</f>
        <v>15649</v>
      </c>
    </row>
    <row r="124" spans="2:5" ht="12.75">
      <c r="B124" s="34" t="s">
        <v>1176</v>
      </c>
      <c r="C124" s="3" t="str">
        <f ca="1">OFFSET(SATemp!E$16,MATCH(SAData!$B121,SATemp!$C$10:$C$1239,0)-1,0)</f>
        <v>599</v>
      </c>
      <c r="D124" s="3" t="str">
        <f ca="1">OFFSET(SATemp!F$16,MATCH(SAData!$B121,SATemp!$C$10:$C$1239,0)-1,0)</f>
        <v>12999</v>
      </c>
      <c r="E124" s="3" t="str">
        <f ca="1">OFFSET(SATemp!G$16,MATCH(SAData!$B121,SATemp!$C$10:$C$1239,0)-1,0)</f>
        <v>18399</v>
      </c>
    </row>
    <row r="126" spans="2:4" ht="12.75">
      <c r="B126" s="33" t="s">
        <v>1201</v>
      </c>
      <c r="C126" s="3" t="str">
        <f ca="1">"("&amp;OFFSET(SATemp!$E$13,MATCH(SAData!$B126,SATemp!$C$10:$C$1239,0)-4,-4)&amp;")"</f>
        <v>(EUR)</v>
      </c>
      <c r="D126" s="45">
        <v>39297</v>
      </c>
    </row>
    <row r="127" spans="2:5" ht="12.75">
      <c r="B127" s="34" t="s">
        <v>1174</v>
      </c>
      <c r="C127" s="3">
        <v>2269</v>
      </c>
      <c r="D127" s="3">
        <v>5669</v>
      </c>
      <c r="E127" s="3">
        <v>10059</v>
      </c>
    </row>
    <row r="128" spans="2:5" ht="12.75">
      <c r="B128" s="34" t="s">
        <v>1175</v>
      </c>
      <c r="C128" s="3">
        <v>2749</v>
      </c>
      <c r="D128" s="3">
        <v>6559</v>
      </c>
      <c r="E128" s="3">
        <v>11549</v>
      </c>
    </row>
    <row r="129" spans="2:5" ht="12.75">
      <c r="B129" s="34" t="s">
        <v>1176</v>
      </c>
      <c r="C129" s="3">
        <v>3219</v>
      </c>
      <c r="D129" s="3">
        <v>7749</v>
      </c>
      <c r="E129" s="3">
        <v>13629</v>
      </c>
    </row>
    <row r="131" spans="2:3" ht="12.75">
      <c r="B131" s="33" t="s">
        <v>1203</v>
      </c>
      <c r="C131" s="3" t="str">
        <f ca="1">"("&amp;OFFSET(SATemp!$E$13,MATCH(SAData!$B131,SATemp!$C$10:$C$1239,0)-4,-4)&amp;")"</f>
        <v>(GBP)</v>
      </c>
    </row>
    <row r="132" spans="2:5" ht="12.75">
      <c r="B132" s="34" t="s">
        <v>1174</v>
      </c>
      <c r="C132" s="3" t="str">
        <f ca="1">OFFSET(SATemp!E$14,MATCH(SAData!$B131,SATemp!$C$10:$C$1239,0)-1,0)</f>
        <v>1409</v>
      </c>
      <c r="D132" s="3" t="str">
        <f ca="1">OFFSET(SATemp!F$14,MATCH(SAData!$B131,SATemp!$C$10:$C$1239,0)-1,0)</f>
        <v>3869</v>
      </c>
      <c r="E132" s="3" t="str">
        <f ca="1">OFFSET(SATemp!G$14,MATCH(SAData!$B131,SATemp!$C$10:$C$1239,0)-1,0)</f>
        <v>6469</v>
      </c>
    </row>
    <row r="133" spans="2:5" ht="12.75">
      <c r="B133" s="34" t="s">
        <v>1175</v>
      </c>
      <c r="C133" s="3" t="str">
        <f ca="1">OFFSET(SATemp!E$15,MATCH(SAData!$B131,SATemp!$C$10:$C$1239,0)-1,0)</f>
        <v>1739</v>
      </c>
      <c r="D133" s="3" t="str">
        <f ca="1">OFFSET(SATemp!F$15,MATCH(SAData!$B131,SATemp!$C$10:$C$1239,0)-1,0)</f>
        <v>4409</v>
      </c>
      <c r="E133" s="3" t="str">
        <f ca="1">OFFSET(SATemp!G$15,MATCH(SAData!$B131,SATemp!$C$10:$C$1239,0)-1,0)</f>
        <v>7459</v>
      </c>
    </row>
    <row r="134" spans="2:5" ht="12.75">
      <c r="B134" s="34" t="s">
        <v>1176</v>
      </c>
      <c r="C134" s="3" t="str">
        <f ca="1">OFFSET(SATemp!E$16,MATCH(SAData!$B131,SATemp!$C$10:$C$1239,0)-1,0)</f>
        <v>1959</v>
      </c>
      <c r="D134" s="3" t="str">
        <f ca="1">OFFSET(SATemp!F$16,MATCH(SAData!$B131,SATemp!$C$10:$C$1239,0)-1,0)</f>
        <v>5189</v>
      </c>
      <c r="E134" s="3" t="str">
        <f ca="1">OFFSET(SATemp!G$16,MATCH(SAData!$B131,SATemp!$C$10:$C$1239,0)-1,0)</f>
        <v>8779</v>
      </c>
    </row>
    <row r="136" spans="2:4" ht="12.75">
      <c r="B136" s="33" t="s">
        <v>1005</v>
      </c>
      <c r="C136" s="3" t="str">
        <f ca="1">"("&amp;OFFSET(SATemp!$E$13,MATCH(SAData!$B136,SATemp!$C$10:$C$1239,0)-4,-4)&amp;")"</f>
        <v>(PLN)</v>
      </c>
      <c r="D136" s="45">
        <v>39297</v>
      </c>
    </row>
    <row r="137" spans="2:5" ht="12.75">
      <c r="B137" s="34" t="s">
        <v>1174</v>
      </c>
      <c r="C137" s="3">
        <v>8811</v>
      </c>
      <c r="D137" s="3">
        <v>22010</v>
      </c>
      <c r="E137" s="3">
        <v>41460</v>
      </c>
    </row>
    <row r="138" spans="2:5" ht="12.75">
      <c r="B138" s="34" t="s">
        <v>1175</v>
      </c>
      <c r="C138" s="3">
        <v>10647</v>
      </c>
      <c r="D138" s="3">
        <v>25470</v>
      </c>
      <c r="E138" s="3">
        <v>47600</v>
      </c>
    </row>
    <row r="139" spans="2:5" ht="12.75">
      <c r="B139" s="34" t="s">
        <v>1176</v>
      </c>
      <c r="C139" s="3">
        <v>12474</v>
      </c>
      <c r="D139" s="3">
        <v>30020</v>
      </c>
      <c r="E139" s="3">
        <v>56170</v>
      </c>
    </row>
    <row r="141" spans="2:4" ht="12.75">
      <c r="B141" s="33" t="s">
        <v>1233</v>
      </c>
      <c r="C141" s="3" t="str">
        <f ca="1">"("&amp;OFFSET(SATemp!$E$13,MATCH(SAData!$B141,SATemp!$C$10:$C$1239,0)-4,-4)&amp;")"</f>
        <v>(USD)</v>
      </c>
      <c r="D141" s="45">
        <v>39297</v>
      </c>
    </row>
    <row r="142" spans="2:5" ht="12.75">
      <c r="B142" s="34" t="s">
        <v>1174</v>
      </c>
      <c r="C142" s="3">
        <v>2741</v>
      </c>
      <c r="D142" s="3">
        <v>7777</v>
      </c>
      <c r="E142" s="3">
        <v>10593</v>
      </c>
    </row>
    <row r="143" spans="2:5" ht="12.75">
      <c r="B143" s="34" t="s">
        <v>1175</v>
      </c>
      <c r="C143" s="3">
        <v>3119</v>
      </c>
      <c r="D143" s="3">
        <v>8910</v>
      </c>
      <c r="E143" s="3">
        <v>12145</v>
      </c>
    </row>
    <row r="144" spans="2:5" ht="12.75">
      <c r="B144" s="34" t="s">
        <v>1176</v>
      </c>
      <c r="C144" s="3">
        <v>3686</v>
      </c>
      <c r="D144" s="3">
        <v>10455</v>
      </c>
      <c r="E144" s="3">
        <v>14285</v>
      </c>
    </row>
    <row r="145" spans="2:5" ht="12.75">
      <c r="B145" s="34"/>
      <c r="C145" s="3"/>
      <c r="D145" s="3"/>
      <c r="E145" s="3"/>
    </row>
    <row r="146" spans="2:3" ht="12.75">
      <c r="B146" s="31" t="s">
        <v>1019</v>
      </c>
      <c r="C146" s="3" t="str">
        <f ca="1">"("&amp;OFFSET(SATemp!$E$13,MATCH(SAData!$B146,SATemp!$C$10:$C$1239,0)-4,-4)&amp;")"</f>
        <v>(USD)</v>
      </c>
    </row>
    <row r="147" spans="2:5" ht="12.75">
      <c r="B147" s="34" t="s">
        <v>1174</v>
      </c>
      <c r="C147" s="3" t="str">
        <f ca="1">OFFSET(SATemp!E$14,MATCH(SAData!$B146,SATemp!$C$10:$C$1239,0)-1,0)</f>
        <v>2939</v>
      </c>
      <c r="D147" s="3" t="str">
        <f ca="1">OFFSET(SATemp!F$14,MATCH(SAData!$B146,SATemp!$C$10:$C$1239,0)-1,0)</f>
        <v>6349</v>
      </c>
      <c r="E147" s="3" t="str">
        <f ca="1">OFFSET(SATemp!G$14,MATCH(SAData!$B146,SATemp!$C$10:$C$1239,0)-1,0)</f>
        <v>9789</v>
      </c>
    </row>
    <row r="148" spans="2:5" ht="12.75">
      <c r="B148" s="34" t="s">
        <v>1175</v>
      </c>
      <c r="C148" s="3" t="str">
        <f ca="1">OFFSET(SATemp!E$15,MATCH(SAData!$B146,SATemp!$C$10:$C$1239,0)-1,0)</f>
        <v>3379</v>
      </c>
      <c r="D148" s="3" t="str">
        <f ca="1">OFFSET(SATemp!F$15,MATCH(SAData!$B146,SATemp!$C$10:$C$1239,0)-1,0)</f>
        <v>7289</v>
      </c>
      <c r="E148" s="3" t="str">
        <f ca="1">OFFSET(SATemp!G$15,MATCH(SAData!$B146,SATemp!$C$10:$C$1239,0)-1,0)</f>
        <v>11259</v>
      </c>
    </row>
    <row r="149" spans="2:5" ht="12.75">
      <c r="B149" s="34" t="s">
        <v>1176</v>
      </c>
      <c r="C149" s="3" t="str">
        <f ca="1">OFFSET(SATemp!E$16,MATCH(SAData!$B146,SATemp!$C$10:$C$1239,0)-1,0)</f>
        <v>3969</v>
      </c>
      <c r="D149" s="3" t="str">
        <f ca="1">OFFSET(SATemp!F$16,MATCH(SAData!$B146,SATemp!$C$10:$C$1239,0)-1,0)</f>
        <v>8549</v>
      </c>
      <c r="E149" s="3" t="str">
        <f ca="1">OFFSET(SATemp!G$16,MATCH(SAData!$B146,SATemp!$C$10:$C$1239,0)-1,0)</f>
        <v>13199</v>
      </c>
    </row>
    <row r="150" spans="2:5" ht="12.75">
      <c r="B150" s="34"/>
      <c r="C150" s="3"/>
      <c r="D150" s="3"/>
      <c r="E150" s="3"/>
    </row>
    <row r="151" spans="2:3" ht="12.75">
      <c r="B151" s="33" t="s">
        <v>1022</v>
      </c>
      <c r="C151" s="3" t="str">
        <f ca="1">"("&amp;OFFSET(SATemp!$E$13,MATCH(SAData!$B151,SATemp!$C$10:$C$1239,0)-4,-4)&amp;")"</f>
        <v>(USD)</v>
      </c>
    </row>
    <row r="152" spans="2:5" ht="12.75">
      <c r="B152" s="34" t="s">
        <v>1174</v>
      </c>
      <c r="C152" s="3" t="str">
        <f ca="1">OFFSET(SATemp!E$14,MATCH(SAData!$B151,SATemp!$C$10:$C$1239,0)-1,0)</f>
        <v>2939</v>
      </c>
      <c r="D152" s="3" t="str">
        <f ca="1">OFFSET(SATemp!F$14,MATCH(SAData!$B151,SATemp!$C$10:$C$1239,0)-1,0)</f>
        <v>6349</v>
      </c>
      <c r="E152" s="3" t="str">
        <f ca="1">OFFSET(SATemp!G$14,MATCH(SAData!$B151,SATemp!$C$10:$C$1239,0)-1,0)</f>
        <v>9789</v>
      </c>
    </row>
    <row r="153" spans="2:5" ht="12.75">
      <c r="B153" s="34" t="s">
        <v>1175</v>
      </c>
      <c r="C153" s="3" t="str">
        <f ca="1">OFFSET(SATemp!E$15,MATCH(SAData!$B151,SATemp!$C$10:$C$1239,0)-1,0)</f>
        <v>3379</v>
      </c>
      <c r="D153" s="3" t="str">
        <f ca="1">OFFSET(SATemp!F$15,MATCH(SAData!$B151,SATemp!$C$10:$C$1239,0)-1,0)</f>
        <v>7289</v>
      </c>
      <c r="E153" s="3" t="str">
        <f ca="1">OFFSET(SATemp!G$15,MATCH(SAData!$B151,SATemp!$C$10:$C$1239,0)-1,0)</f>
        <v>11259</v>
      </c>
    </row>
    <row r="154" spans="2:5" ht="12.75">
      <c r="B154" s="34" t="s">
        <v>1176</v>
      </c>
      <c r="C154" s="3" t="str">
        <f ca="1">OFFSET(SATemp!E$16,MATCH(SAData!$B151,SATemp!$C$10:$C$1239,0)-1,0)</f>
        <v>3969</v>
      </c>
      <c r="D154" s="3" t="str">
        <f ca="1">OFFSET(SATemp!F$16,MATCH(SAData!$B151,SATemp!$C$10:$C$1239,0)-1,0)</f>
        <v>8549</v>
      </c>
      <c r="E154" s="3" t="str">
        <f ca="1">OFFSET(SATemp!G$16,MATCH(SAData!$B151,SATemp!$C$10:$C$1239,0)-1,0)</f>
        <v>13199</v>
      </c>
    </row>
    <row r="155" spans="2:5" ht="12.75">
      <c r="B155" s="34"/>
      <c r="C155" s="3"/>
      <c r="D155" s="3"/>
      <c r="E155" s="3"/>
    </row>
    <row r="156" spans="2:3" ht="12.75">
      <c r="B156" s="33" t="s">
        <v>1525</v>
      </c>
      <c r="C156" s="3" t="str">
        <f ca="1">"("&amp;OFFSET(SATemp!$E$13,MATCH(SAData!$B156,SATemp!$C$10:$C$1239,0)-4,-4)&amp;")"</f>
        <v>(AED)</v>
      </c>
    </row>
    <row r="157" spans="2:5" ht="12.75">
      <c r="B157" s="34" t="s">
        <v>1174</v>
      </c>
      <c r="C157" s="3" t="str">
        <f ca="1">OFFSET(SATemp!E$14,MATCH(SAData!$B156,SATemp!$C$10:$C$1239,0)-1,0)</f>
        <v>10800</v>
      </c>
      <c r="D157" s="3" t="str">
        <f ca="1">OFFSET(SATemp!F$14,MATCH(SAData!$B156,SATemp!$C$10:$C$1239,0)-1,0)</f>
        <v>23300</v>
      </c>
      <c r="E157" s="3" t="str">
        <f ca="1">OFFSET(SATemp!G$14,MATCH(SAData!$B156,SATemp!$C$10:$C$1239,0)-1,0)</f>
        <v>36000</v>
      </c>
    </row>
    <row r="158" spans="2:5" ht="12.75">
      <c r="B158" s="34" t="s">
        <v>1175</v>
      </c>
      <c r="C158" s="3" t="str">
        <f ca="1">OFFSET(SATemp!E$15,MATCH(SAData!$B156,SATemp!$C$10:$C$1239,0)-1,0)</f>
        <v>12400</v>
      </c>
      <c r="D158" s="3" t="str">
        <f ca="1">OFFSET(SATemp!F$15,MATCH(SAData!$B156,SATemp!$C$10:$C$1239,0)-1,0)</f>
        <v>26800</v>
      </c>
      <c r="E158" s="3" t="str">
        <f ca="1">OFFSET(SATemp!G$15,MATCH(SAData!$B156,SATemp!$C$10:$C$1239,0)-1,0)</f>
        <v>41400</v>
      </c>
    </row>
    <row r="159" spans="2:5" ht="12.75">
      <c r="B159" s="34" t="s">
        <v>1176</v>
      </c>
      <c r="C159" s="3" t="str">
        <f ca="1">OFFSET(SATemp!E$16,MATCH(SAData!$B156,SATemp!$C$10:$C$1239,0)-1,0)</f>
        <v>14500</v>
      </c>
      <c r="D159" s="3" t="str">
        <f ca="1">OFFSET(SATemp!F$16,MATCH(SAData!$B156,SATemp!$C$10:$C$1239,0)-1,0)</f>
        <v>31400</v>
      </c>
      <c r="E159" s="3" t="str">
        <f ca="1">OFFSET(SATemp!G$16,MATCH(SAData!$B156,SATemp!$C$10:$C$1239,0)-1,0)</f>
        <v>48500</v>
      </c>
    </row>
    <row r="160" spans="2:5" ht="12.75">
      <c r="B160" s="34"/>
      <c r="C160" s="3"/>
      <c r="D160" s="3"/>
      <c r="E160" s="3"/>
    </row>
    <row r="161" spans="2:3" ht="12.75">
      <c r="B161" s="33" t="s">
        <v>1248</v>
      </c>
      <c r="C161" s="3" t="str">
        <f ca="1">"("&amp;OFFSET(SATemp!$E$13,MATCH(SAData!$B161,SATemp!$C$10:$C$1239,0)-4,-4)&amp;")"</f>
        <v>(WST)</v>
      </c>
    </row>
    <row r="162" spans="2:5" ht="12.75">
      <c r="B162" s="34" t="s">
        <v>1174</v>
      </c>
      <c r="C162" s="3" t="str">
        <f ca="1">OFFSET(SATemp!E$14,MATCH(SAData!$B161,SATemp!$C$10:$C$1239,0)-1,0)</f>
        <v>6188</v>
      </c>
      <c r="D162" s="3" t="str">
        <f ca="1">OFFSET(SATemp!F$14,MATCH(SAData!$B161,SATemp!$C$10:$C$1239,0)-1,0)</f>
        <v>14289</v>
      </c>
      <c r="E162" s="3" t="str">
        <f ca="1">OFFSET(SATemp!G$14,MATCH(SAData!$B161,SATemp!$C$10:$C$1239,0)-1,0)</f>
        <v>19769</v>
      </c>
    </row>
    <row r="163" spans="2:5" ht="12.75">
      <c r="B163" s="34" t="s">
        <v>1175</v>
      </c>
      <c r="C163" s="3" t="str">
        <f ca="1">OFFSET(SATemp!E$15,MATCH(SAData!$B161,SATemp!$C$10:$C$1239,0)-1,0)</f>
        <v>7116</v>
      </c>
      <c r="D163" s="3" t="str">
        <f ca="1">OFFSET(SATemp!F$15,MATCH(SAData!$B161,SATemp!$C$10:$C$1239,0)-1,0)</f>
        <v>16429</v>
      </c>
      <c r="E163" s="3" t="str">
        <f ca="1">OFFSET(SATemp!G$15,MATCH(SAData!$B161,SATemp!$C$10:$C$1239,0)-1,0)</f>
        <v>22729</v>
      </c>
    </row>
    <row r="164" spans="2:5" ht="12.75">
      <c r="B164" s="34" t="s">
        <v>1176</v>
      </c>
      <c r="C164" s="3" t="str">
        <f ca="1">OFFSET(SATemp!E$16,MATCH(SAData!$B161,SATemp!$C$10:$C$1239,0)-1,0)</f>
        <v>8354</v>
      </c>
      <c r="D164" s="3" t="str">
        <f ca="1">OFFSET(SATemp!F$16,MATCH(SAData!$B161,SATemp!$C$10:$C$1239,0)-1,0)</f>
        <v>19299</v>
      </c>
      <c r="E164" s="3" t="str">
        <f ca="1">OFFSET(SATemp!G$16,MATCH(SAData!$B161,SATemp!$C$10:$C$1239,0)-1,0)</f>
        <v>26689</v>
      </c>
    </row>
    <row r="165" spans="2:5" ht="12.75">
      <c r="B165" s="34"/>
      <c r="C165" s="3"/>
      <c r="D165" s="3"/>
      <c r="E165" s="3"/>
    </row>
    <row r="166" spans="2:3" ht="12.75">
      <c r="B166" s="33" t="s">
        <v>1409</v>
      </c>
      <c r="C166" s="3" t="str">
        <f ca="1">"("&amp;OFFSET(SATemp!$E$13,MATCH(SAData!$B166,SATemp!$C$10:$C$939,0)-4,-4)&amp;")"</f>
        <v>(EUR)</v>
      </c>
    </row>
    <row r="167" spans="2:5" ht="12.75">
      <c r="B167" s="34" t="s">
        <v>1174</v>
      </c>
      <c r="C167" s="3" t="str">
        <f ca="1">OFFSET(SATemp!E$14,MATCH(SAData!$B166,SATemp!$C$10:$C$1239,0)-1,0)</f>
        <v>2210</v>
      </c>
      <c r="D167" s="3" t="str">
        <f ca="1">OFFSET(SATemp!F$14,MATCH(SAData!$B166,SATemp!$C$10:$C$1239,0)-1,0)</f>
        <v>5000</v>
      </c>
      <c r="E167" s="3" t="str">
        <f ca="1">OFFSET(SATemp!G$14,MATCH(SAData!$B166,SATemp!$C$10:$C$1239,0)-1,0)</f>
        <v>7710</v>
      </c>
    </row>
    <row r="168" spans="2:5" ht="12.75">
      <c r="B168" s="34" t="s">
        <v>1175</v>
      </c>
      <c r="C168" s="3" t="str">
        <f ca="1">OFFSET(SATemp!E$15,MATCH(SAData!$B166,SATemp!$C$10:$C$1239,0)-1,0)</f>
        <v>2760</v>
      </c>
      <c r="D168" s="3" t="str">
        <f ca="1">OFFSET(SATemp!F$15,MATCH(SAData!$B166,SATemp!$C$10:$C$1239,0)-1,0)</f>
        <v>5740</v>
      </c>
      <c r="E168" s="3" t="str">
        <f ca="1">OFFSET(SATemp!G$15,MATCH(SAData!$B166,SATemp!$C$10:$C$1239,0)-1,0)</f>
        <v>8870</v>
      </c>
    </row>
    <row r="169" spans="2:5" ht="12.75">
      <c r="B169" s="34" t="s">
        <v>1176</v>
      </c>
      <c r="C169" s="3" t="str">
        <f ca="1">OFFSET(SATemp!E$16,MATCH(SAData!$B166,SATemp!$C$10:$C$1239,0)-1,0)</f>
        <v>3240</v>
      </c>
      <c r="D169" s="3" t="str">
        <f ca="1">OFFSET(SATemp!F$16,MATCH(SAData!$B166,SATemp!$C$10:$C$1239,0)-1,0)</f>
        <v>6740</v>
      </c>
      <c r="E169" s="3" t="str">
        <f ca="1">OFFSET(SATemp!G$16,MATCH(SAData!$B166,SATemp!$C$10:$C$1239,0)-1,0)</f>
        <v>10500</v>
      </c>
    </row>
    <row r="170" spans="2:12" ht="12.75">
      <c r="B170" s="34"/>
      <c r="C170" s="3"/>
      <c r="D170" s="3"/>
      <c r="E170" s="3"/>
      <c r="L170">
        <f>RIGHT(TRIM(G170),7)</f>
      </c>
    </row>
    <row r="171" spans="2:12" ht="12.75">
      <c r="B171" s="33" t="s">
        <v>1004</v>
      </c>
      <c r="C171" s="3" t="s">
        <v>133</v>
      </c>
      <c r="D171" s="45">
        <v>39297</v>
      </c>
      <c r="L171">
        <f>RIGHT(TRIM(G171),7)</f>
      </c>
    </row>
    <row r="172" spans="2:12" ht="12.75">
      <c r="B172" s="34" t="s">
        <v>1174</v>
      </c>
      <c r="C172" s="3">
        <v>17535</v>
      </c>
      <c r="D172" s="3">
        <v>43070</v>
      </c>
      <c r="E172" s="3">
        <v>82050</v>
      </c>
      <c r="L172">
        <f>RIGHT(TRIM(G172),7)</f>
      </c>
    </row>
    <row r="173" spans="2:12" ht="12.75">
      <c r="B173" s="34" t="s">
        <v>1175</v>
      </c>
      <c r="C173" s="3">
        <v>21385</v>
      </c>
      <c r="D173" s="3">
        <v>49700</v>
      </c>
      <c r="E173" s="3">
        <v>94210</v>
      </c>
      <c r="L173">
        <f>RIGHT(TRIM(G173),7)</f>
      </c>
    </row>
    <row r="174" spans="2:12" ht="12.75">
      <c r="B174" s="34" t="s">
        <v>1176</v>
      </c>
      <c r="C174" s="3">
        <v>25075</v>
      </c>
      <c r="D174" s="3">
        <v>58550</v>
      </c>
      <c r="E174" s="3">
        <v>111170</v>
      </c>
      <c r="L174">
        <f aca="true" t="shared" si="29" ref="L174:L179">RIGHT(TRIM(G174),7)</f>
      </c>
    </row>
    <row r="175" ht="12.75">
      <c r="L175">
        <f t="shared" si="29"/>
      </c>
    </row>
    <row r="176" ht="12.75">
      <c r="L176">
        <f t="shared" si="29"/>
      </c>
    </row>
    <row r="177" ht="12.75">
      <c r="L177">
        <f t="shared" si="29"/>
      </c>
    </row>
    <row r="178" ht="12.75">
      <c r="L178">
        <f t="shared" si="29"/>
      </c>
    </row>
    <row r="179" ht="12.75">
      <c r="L179">
        <f t="shared" si="29"/>
      </c>
    </row>
    <row r="180" ht="12.75">
      <c r="B180" t="s">
        <v>1526</v>
      </c>
    </row>
    <row r="182" spans="2:3" ht="12.75">
      <c r="B182" s="33" t="s">
        <v>1017</v>
      </c>
      <c r="C182" t="s">
        <v>1173</v>
      </c>
    </row>
    <row r="183" spans="2:5" ht="12.75">
      <c r="B183" s="34" t="s">
        <v>1174</v>
      </c>
      <c r="C183" s="3">
        <v>11260</v>
      </c>
      <c r="D183" s="3">
        <v>29600</v>
      </c>
      <c r="E183" s="3">
        <v>46800</v>
      </c>
    </row>
    <row r="184" spans="2:13" ht="12.75">
      <c r="B184" s="34" t="s">
        <v>1175</v>
      </c>
      <c r="C184" s="3">
        <v>12940</v>
      </c>
      <c r="D184" s="3">
        <v>34000</v>
      </c>
      <c r="E184" s="3">
        <v>53800</v>
      </c>
      <c r="G184" s="3">
        <f aca="true" t="shared" si="30" ref="G184:I186">C7-C183</f>
        <v>4985</v>
      </c>
      <c r="H184" s="3">
        <f t="shared" si="30"/>
        <v>11172</v>
      </c>
      <c r="I184" s="3">
        <f t="shared" si="30"/>
        <v>29987</v>
      </c>
      <c r="K184" s="49">
        <f aca="true" t="shared" si="31" ref="K184:M186">G184/C183</f>
        <v>0.44271758436944936</v>
      </c>
      <c r="L184" s="49">
        <f t="shared" si="31"/>
        <v>0.3774324324324324</v>
      </c>
      <c r="M184" s="49">
        <f t="shared" si="31"/>
        <v>0.6407478632478633</v>
      </c>
    </row>
    <row r="185" spans="2:13" ht="12.75">
      <c r="B185" s="34" t="s">
        <v>1176</v>
      </c>
      <c r="C185" s="3">
        <v>15200</v>
      </c>
      <c r="D185" s="3">
        <v>40000</v>
      </c>
      <c r="E185" s="3">
        <v>63200</v>
      </c>
      <c r="G185" s="3">
        <f t="shared" si="30"/>
        <v>7015</v>
      </c>
      <c r="H185" s="3">
        <f t="shared" si="30"/>
        <v>12943</v>
      </c>
      <c r="I185" s="3">
        <f t="shared" si="30"/>
        <v>34361</v>
      </c>
      <c r="K185" s="49">
        <f t="shared" si="31"/>
        <v>0.5421174652241113</v>
      </c>
      <c r="L185" s="49">
        <f t="shared" si="31"/>
        <v>0.3806764705882353</v>
      </c>
      <c r="M185" s="49">
        <f t="shared" si="31"/>
        <v>0.6386802973977695</v>
      </c>
    </row>
    <row r="186" spans="7:13" ht="12.75">
      <c r="G186" s="3">
        <f t="shared" si="30"/>
        <v>8190</v>
      </c>
      <c r="H186" s="3">
        <f t="shared" si="30"/>
        <v>15302</v>
      </c>
      <c r="I186" s="3">
        <f t="shared" si="30"/>
        <v>40839</v>
      </c>
      <c r="K186" s="49">
        <f t="shared" si="31"/>
        <v>0.5388157894736842</v>
      </c>
      <c r="L186" s="49">
        <f t="shared" si="31"/>
        <v>0.38255</v>
      </c>
      <c r="M186" s="49">
        <f t="shared" si="31"/>
        <v>0.6461867088607595</v>
      </c>
    </row>
    <row r="187" spans="2:3" ht="12.75">
      <c r="B187" s="33" t="s">
        <v>1177</v>
      </c>
      <c r="C187" t="s">
        <v>1178</v>
      </c>
    </row>
    <row r="188" spans="2:5" ht="12.75">
      <c r="B188" s="34" t="s">
        <v>1174</v>
      </c>
      <c r="C188" s="3">
        <v>3380</v>
      </c>
      <c r="D188" s="3">
        <v>8900</v>
      </c>
      <c r="E188" s="3">
        <v>11160</v>
      </c>
    </row>
    <row r="189" spans="2:13" ht="12.75">
      <c r="B189" s="34" t="s">
        <v>1175</v>
      </c>
      <c r="C189" s="3">
        <v>3880</v>
      </c>
      <c r="D189" s="3">
        <v>10250</v>
      </c>
      <c r="E189" s="3">
        <v>12850</v>
      </c>
      <c r="G189" s="3">
        <f aca="true" t="shared" si="32" ref="G189:I191">C12-C188</f>
        <v>1320</v>
      </c>
      <c r="H189" s="3">
        <f t="shared" si="32"/>
        <v>2839</v>
      </c>
      <c r="I189" s="3">
        <f t="shared" si="32"/>
        <v>5039</v>
      </c>
      <c r="K189" s="49">
        <f aca="true" t="shared" si="33" ref="K189:M191">G189/C188</f>
        <v>0.3905325443786982</v>
      </c>
      <c r="L189" s="49">
        <f t="shared" si="33"/>
        <v>0.3189887640449438</v>
      </c>
      <c r="M189" s="49">
        <f t="shared" si="33"/>
        <v>0.4515232974910394</v>
      </c>
    </row>
    <row r="190" spans="2:13" ht="12.75">
      <c r="B190" s="34" t="s">
        <v>1176</v>
      </c>
      <c r="C190" s="3">
        <v>4560</v>
      </c>
      <c r="D190" s="3">
        <v>12030</v>
      </c>
      <c r="E190" s="3">
        <v>15060</v>
      </c>
      <c r="G190" s="3">
        <f t="shared" si="32"/>
        <v>1529</v>
      </c>
      <c r="H190" s="3">
        <f t="shared" si="32"/>
        <v>3250</v>
      </c>
      <c r="I190" s="3">
        <f t="shared" si="32"/>
        <v>5779</v>
      </c>
      <c r="K190" s="49">
        <f t="shared" si="33"/>
        <v>0.3940721649484536</v>
      </c>
      <c r="L190" s="49">
        <f t="shared" si="33"/>
        <v>0.3170731707317073</v>
      </c>
      <c r="M190" s="49">
        <f t="shared" si="33"/>
        <v>0.449727626459144</v>
      </c>
    </row>
    <row r="191" spans="7:13" ht="12.75">
      <c r="G191" s="3">
        <f t="shared" si="32"/>
        <v>1549</v>
      </c>
      <c r="H191" s="3">
        <f t="shared" si="32"/>
        <v>3499</v>
      </c>
      <c r="I191" s="3">
        <f t="shared" si="32"/>
        <v>6369</v>
      </c>
      <c r="K191" s="49">
        <f t="shared" si="33"/>
        <v>0.3396929824561403</v>
      </c>
      <c r="L191" s="49">
        <f t="shared" si="33"/>
        <v>0.29085619285120534</v>
      </c>
      <c r="M191" s="49">
        <f t="shared" si="33"/>
        <v>0.42290836653386454</v>
      </c>
    </row>
    <row r="192" spans="2:3" ht="12.75">
      <c r="B192" s="33" t="s">
        <v>1179</v>
      </c>
      <c r="C192" t="s">
        <v>1180</v>
      </c>
    </row>
    <row r="193" spans="2:5" ht="12.75">
      <c r="B193" s="34" t="s">
        <v>1174</v>
      </c>
      <c r="C193" s="3">
        <v>3600</v>
      </c>
      <c r="D193" s="3">
        <v>6900</v>
      </c>
      <c r="E193" s="3">
        <v>9400</v>
      </c>
    </row>
    <row r="194" spans="2:13" ht="12.75">
      <c r="B194" s="34" t="s">
        <v>1175</v>
      </c>
      <c r="C194" s="3">
        <v>4100</v>
      </c>
      <c r="D194" s="3">
        <v>8000</v>
      </c>
      <c r="E194" s="3">
        <v>10900</v>
      </c>
      <c r="G194" s="3">
        <f aca="true" t="shared" si="34" ref="G194:I196">C17-C193</f>
        <v>-1057</v>
      </c>
      <c r="H194" s="3">
        <f t="shared" si="34"/>
        <v>1408</v>
      </c>
      <c r="I194" s="3">
        <f t="shared" si="34"/>
        <v>1372</v>
      </c>
      <c r="K194" s="49">
        <f aca="true" t="shared" si="35" ref="K194:M196">G194/C193</f>
        <v>-0.2936111111111111</v>
      </c>
      <c r="L194" s="49">
        <f t="shared" si="35"/>
        <v>0.20405797101449274</v>
      </c>
      <c r="M194" s="49">
        <f t="shared" si="35"/>
        <v>0.14595744680851064</v>
      </c>
    </row>
    <row r="195" spans="2:13" ht="12.75">
      <c r="B195" s="34" t="s">
        <v>1176</v>
      </c>
      <c r="C195" s="3">
        <v>4800</v>
      </c>
      <c r="D195" s="3">
        <v>9400</v>
      </c>
      <c r="E195" s="3">
        <v>12700</v>
      </c>
      <c r="G195" s="3">
        <f t="shared" si="34"/>
        <v>-1350</v>
      </c>
      <c r="H195" s="3">
        <f t="shared" si="34"/>
        <v>1464</v>
      </c>
      <c r="I195" s="3">
        <f t="shared" si="34"/>
        <v>1549</v>
      </c>
      <c r="K195" s="49">
        <f t="shared" si="35"/>
        <v>-0.32926829268292684</v>
      </c>
      <c r="L195" s="49">
        <f t="shared" si="35"/>
        <v>0.183</v>
      </c>
      <c r="M195" s="49">
        <f t="shared" si="35"/>
        <v>0.14211009174311925</v>
      </c>
    </row>
    <row r="196" spans="7:13" ht="12.75">
      <c r="G196" s="3">
        <f t="shared" si="34"/>
        <v>-1645</v>
      </c>
      <c r="H196" s="3">
        <f t="shared" si="34"/>
        <v>1072</v>
      </c>
      <c r="I196" s="3">
        <f t="shared" si="34"/>
        <v>1273</v>
      </c>
      <c r="K196" s="49">
        <f t="shared" si="35"/>
        <v>-0.34270833333333334</v>
      </c>
      <c r="L196" s="49">
        <f t="shared" si="35"/>
        <v>0.11404255319148936</v>
      </c>
      <c r="M196" s="49">
        <f t="shared" si="35"/>
        <v>0.10023622047244095</v>
      </c>
    </row>
    <row r="197" spans="2:3" ht="12.75">
      <c r="B197" s="33" t="s">
        <v>1404</v>
      </c>
      <c r="C197" t="s">
        <v>1181</v>
      </c>
    </row>
    <row r="198" spans="2:5" ht="12.75">
      <c r="B198" s="34" t="s">
        <v>1174</v>
      </c>
      <c r="C198" s="3">
        <v>95090</v>
      </c>
      <c r="D198" s="3">
        <v>175690</v>
      </c>
      <c r="E198" s="3">
        <v>260390</v>
      </c>
    </row>
    <row r="199" spans="2:13" ht="12.75">
      <c r="B199" s="34" t="s">
        <v>1175</v>
      </c>
      <c r="C199" s="3">
        <v>109390</v>
      </c>
      <c r="D199" s="3">
        <v>202090</v>
      </c>
      <c r="E199" s="3">
        <v>299390</v>
      </c>
      <c r="G199" s="3">
        <f aca="true" t="shared" si="36" ref="G199:I201">C22-C198</f>
        <v>10890</v>
      </c>
      <c r="H199" s="3">
        <f t="shared" si="36"/>
        <v>45580</v>
      </c>
      <c r="I199" s="3">
        <f t="shared" si="36"/>
        <v>76820</v>
      </c>
      <c r="K199" s="49">
        <f aca="true" t="shared" si="37" ref="K199:M201">G199/C198</f>
        <v>0.11452308339467873</v>
      </c>
      <c r="L199" s="49">
        <f t="shared" si="37"/>
        <v>0.25943423074733907</v>
      </c>
      <c r="M199" s="49">
        <f t="shared" si="37"/>
        <v>0.29501900994661856</v>
      </c>
    </row>
    <row r="200" spans="2:13" ht="12.75">
      <c r="B200" s="34" t="s">
        <v>1176</v>
      </c>
      <c r="C200" s="3">
        <v>128390</v>
      </c>
      <c r="D200" s="3">
        <v>237190</v>
      </c>
      <c r="E200" s="3">
        <v>351390</v>
      </c>
      <c r="G200" s="3">
        <f t="shared" si="36"/>
        <v>12500</v>
      </c>
      <c r="H200" s="3">
        <f t="shared" si="36"/>
        <v>52500</v>
      </c>
      <c r="I200" s="3">
        <f t="shared" si="36"/>
        <v>88200</v>
      </c>
      <c r="K200" s="49">
        <f t="shared" si="37"/>
        <v>0.11427004296553615</v>
      </c>
      <c r="L200" s="49">
        <f t="shared" si="37"/>
        <v>0.25978524419812954</v>
      </c>
      <c r="M200" s="49">
        <f t="shared" si="37"/>
        <v>0.2945990180032733</v>
      </c>
    </row>
    <row r="201" spans="7:13" ht="12.75">
      <c r="G201" s="3">
        <f t="shared" si="36"/>
        <v>14690</v>
      </c>
      <c r="H201" s="3">
        <f t="shared" si="36"/>
        <v>61530</v>
      </c>
      <c r="I201" s="3">
        <f t="shared" si="36"/>
        <v>103640</v>
      </c>
      <c r="K201" s="49">
        <f t="shared" si="37"/>
        <v>0.11441701067061298</v>
      </c>
      <c r="L201" s="49">
        <f t="shared" si="37"/>
        <v>0.2594122855095071</v>
      </c>
      <c r="M201" s="49">
        <f t="shared" si="37"/>
        <v>0.2949429408918865</v>
      </c>
    </row>
    <row r="202" spans="2:3" ht="12.75">
      <c r="B202" s="33" t="s">
        <v>1403</v>
      </c>
      <c r="C202" t="s">
        <v>1182</v>
      </c>
    </row>
    <row r="203" spans="2:5" ht="12.75">
      <c r="B203" s="34" t="s">
        <v>1174</v>
      </c>
      <c r="C203" s="3">
        <v>82600</v>
      </c>
      <c r="D203" s="3">
        <v>154000</v>
      </c>
      <c r="E203" s="3">
        <v>215200</v>
      </c>
    </row>
    <row r="204" spans="2:13" ht="12.75">
      <c r="B204" s="34" t="s">
        <v>1175</v>
      </c>
      <c r="C204" s="3">
        <v>94900</v>
      </c>
      <c r="D204" s="3">
        <v>177100</v>
      </c>
      <c r="E204" s="3">
        <v>247500</v>
      </c>
      <c r="G204" s="3">
        <f aca="true" t="shared" si="38" ref="G204:I206">C27-C203</f>
        <v>5690</v>
      </c>
      <c r="H204" s="3">
        <f t="shared" si="38"/>
        <v>56100</v>
      </c>
      <c r="I204" s="3">
        <f t="shared" si="38"/>
        <v>82500</v>
      </c>
      <c r="K204" s="49">
        <f aca="true" t="shared" si="39" ref="K204:M206">G204/C203</f>
        <v>0.06888619854721549</v>
      </c>
      <c r="L204" s="49">
        <f t="shared" si="39"/>
        <v>0.36428571428571427</v>
      </c>
      <c r="M204" s="49">
        <f t="shared" si="39"/>
        <v>0.383364312267658</v>
      </c>
    </row>
    <row r="205" spans="2:13" ht="12.75">
      <c r="B205" s="34" t="s">
        <v>1176</v>
      </c>
      <c r="C205" s="3">
        <v>111500</v>
      </c>
      <c r="D205" s="3">
        <v>207900</v>
      </c>
      <c r="E205" s="3">
        <v>290600</v>
      </c>
      <c r="G205" s="3">
        <f t="shared" si="38"/>
        <v>11660</v>
      </c>
      <c r="H205" s="3">
        <f t="shared" si="38"/>
        <v>64600</v>
      </c>
      <c r="I205" s="3">
        <f t="shared" si="38"/>
        <v>94800</v>
      </c>
      <c r="K205" s="49">
        <f t="shared" si="39"/>
        <v>0.12286617492096945</v>
      </c>
      <c r="L205" s="49">
        <f t="shared" si="39"/>
        <v>0.36476566911349523</v>
      </c>
      <c r="M205" s="49">
        <f t="shared" si="39"/>
        <v>0.38303030303030305</v>
      </c>
    </row>
    <row r="206" spans="7:13" ht="12.75">
      <c r="G206" s="3">
        <f t="shared" si="38"/>
        <v>13510</v>
      </c>
      <c r="H206" s="3">
        <f t="shared" si="38"/>
        <v>75800</v>
      </c>
      <c r="I206" s="3">
        <f t="shared" si="38"/>
        <v>111300</v>
      </c>
      <c r="K206" s="49">
        <f t="shared" si="39"/>
        <v>0.1211659192825112</v>
      </c>
      <c r="L206" s="49">
        <f t="shared" si="39"/>
        <v>0.3645983645983646</v>
      </c>
      <c r="M206" s="49">
        <f t="shared" si="39"/>
        <v>0.3830006882312457</v>
      </c>
    </row>
    <row r="207" spans="2:3" ht="12.75">
      <c r="B207" s="33" t="s">
        <v>1395</v>
      </c>
      <c r="C207" t="s">
        <v>1183</v>
      </c>
    </row>
    <row r="208" spans="2:5" ht="12.75">
      <c r="B208" s="34" t="s">
        <v>1174</v>
      </c>
      <c r="C208" s="3">
        <v>2749</v>
      </c>
      <c r="D208" s="3">
        <v>4739</v>
      </c>
      <c r="E208" s="3">
        <v>6389</v>
      </c>
    </row>
    <row r="209" spans="2:13" ht="12.75">
      <c r="B209" s="34" t="s">
        <v>1175</v>
      </c>
      <c r="C209" s="3">
        <v>3159</v>
      </c>
      <c r="D209" s="3">
        <v>5449</v>
      </c>
      <c r="E209" s="3">
        <v>7349</v>
      </c>
      <c r="G209" s="3">
        <f aca="true" t="shared" si="40" ref="G209:I211">C32-C208</f>
        <v>140</v>
      </c>
      <c r="H209" s="3">
        <f t="shared" si="40"/>
        <v>940</v>
      </c>
      <c r="I209" s="3">
        <f t="shared" si="40"/>
        <v>1470</v>
      </c>
      <c r="K209" s="49">
        <f aca="true" t="shared" si="41" ref="K209:M211">G209/C208</f>
        <v>0.05092761004001455</v>
      </c>
      <c r="L209" s="49">
        <f t="shared" si="41"/>
        <v>0.19835408313990294</v>
      </c>
      <c r="M209" s="49">
        <f t="shared" si="41"/>
        <v>0.2300829550790421</v>
      </c>
    </row>
    <row r="210" spans="2:13" ht="12.75">
      <c r="B210" s="34" t="s">
        <v>1176</v>
      </c>
      <c r="C210" s="3">
        <v>3709</v>
      </c>
      <c r="D210" s="3">
        <v>6399</v>
      </c>
      <c r="E210" s="3">
        <v>8629</v>
      </c>
      <c r="G210" s="3">
        <f t="shared" si="40"/>
        <v>160</v>
      </c>
      <c r="H210" s="3">
        <f t="shared" si="40"/>
        <v>1110</v>
      </c>
      <c r="I210" s="3">
        <f t="shared" si="40"/>
        <v>1730</v>
      </c>
      <c r="K210" s="49">
        <f t="shared" si="41"/>
        <v>0.050648939537828425</v>
      </c>
      <c r="L210" s="49">
        <f t="shared" si="41"/>
        <v>0.20370710222059094</v>
      </c>
      <c r="M210" s="49">
        <f t="shared" si="41"/>
        <v>0.23540617771125324</v>
      </c>
    </row>
    <row r="211" spans="7:13" ht="12.75">
      <c r="G211" s="3">
        <f t="shared" si="40"/>
        <v>190</v>
      </c>
      <c r="H211" s="3">
        <f t="shared" si="40"/>
        <v>1300</v>
      </c>
      <c r="I211" s="3">
        <f t="shared" si="40"/>
        <v>2040</v>
      </c>
      <c r="K211" s="49">
        <f t="shared" si="41"/>
        <v>0.05122674575357239</v>
      </c>
      <c r="L211" s="49">
        <f t="shared" si="41"/>
        <v>0.20315674324113142</v>
      </c>
      <c r="M211" s="49">
        <f t="shared" si="41"/>
        <v>0.2364120987368177</v>
      </c>
    </row>
    <row r="212" spans="2:3" ht="12.75">
      <c r="B212" s="33" t="s">
        <v>1013</v>
      </c>
      <c r="C212" t="s">
        <v>1183</v>
      </c>
    </row>
    <row r="213" spans="2:5" ht="12.75">
      <c r="B213" s="34" t="s">
        <v>1174</v>
      </c>
      <c r="C213" s="3">
        <v>2397</v>
      </c>
      <c r="D213" s="3">
        <v>4550</v>
      </c>
      <c r="E213" s="3">
        <v>6730</v>
      </c>
    </row>
    <row r="214" spans="2:13" ht="12.75">
      <c r="B214" s="34" t="s">
        <v>1175</v>
      </c>
      <c r="C214" s="3">
        <v>2762</v>
      </c>
      <c r="D214" s="3">
        <v>5249</v>
      </c>
      <c r="E214" s="3">
        <v>7740</v>
      </c>
      <c r="G214" s="3">
        <f aca="true" t="shared" si="42" ref="G214:I216">C37-C213</f>
        <v>2</v>
      </c>
      <c r="H214" s="3">
        <f t="shared" si="42"/>
        <v>849</v>
      </c>
      <c r="I214" s="3">
        <f t="shared" si="42"/>
        <v>1719</v>
      </c>
      <c r="K214" s="49">
        <f aca="true" t="shared" si="43" ref="K214:M216">G214/C213</f>
        <v>0.0008343763037129745</v>
      </c>
      <c r="L214" s="49">
        <f t="shared" si="43"/>
        <v>0.1865934065934066</v>
      </c>
      <c r="M214" s="49">
        <f t="shared" si="43"/>
        <v>0.2554234769687964</v>
      </c>
    </row>
    <row r="215" spans="2:13" ht="12.75">
      <c r="B215" s="34" t="s">
        <v>1176</v>
      </c>
      <c r="C215" s="3">
        <v>3236</v>
      </c>
      <c r="D215" s="3">
        <v>6150</v>
      </c>
      <c r="E215" s="3">
        <v>9080</v>
      </c>
      <c r="G215" s="3">
        <f t="shared" si="42"/>
        <v>-13</v>
      </c>
      <c r="H215" s="3">
        <f t="shared" si="42"/>
        <v>1000</v>
      </c>
      <c r="I215" s="3">
        <f t="shared" si="42"/>
        <v>1959</v>
      </c>
      <c r="K215" s="49">
        <f t="shared" si="43"/>
        <v>-0.004706734250543085</v>
      </c>
      <c r="L215" s="49">
        <f t="shared" si="43"/>
        <v>0.19051247856734616</v>
      </c>
      <c r="M215" s="49">
        <f t="shared" si="43"/>
        <v>0.2531007751937985</v>
      </c>
    </row>
    <row r="216" spans="7:13" ht="12.75">
      <c r="G216" s="3">
        <f t="shared" si="42"/>
        <v>13</v>
      </c>
      <c r="H216" s="3">
        <f t="shared" si="42"/>
        <v>1199</v>
      </c>
      <c r="I216" s="3">
        <f t="shared" si="42"/>
        <v>2369</v>
      </c>
      <c r="K216" s="49">
        <f t="shared" si="43"/>
        <v>0.0040173053152039555</v>
      </c>
      <c r="L216" s="49">
        <f t="shared" si="43"/>
        <v>0.19495934959349592</v>
      </c>
      <c r="M216" s="49">
        <f t="shared" si="43"/>
        <v>0.2609030837004405</v>
      </c>
    </row>
    <row r="217" spans="2:3" ht="12.75">
      <c r="B217" s="33" t="s">
        <v>1397</v>
      </c>
      <c r="C217" t="s">
        <v>1184</v>
      </c>
    </row>
    <row r="218" spans="2:5" ht="12.75">
      <c r="B218" s="34" t="s">
        <v>1174</v>
      </c>
      <c r="C218" s="3">
        <v>2957400</v>
      </c>
      <c r="D218" s="3">
        <v>5007200</v>
      </c>
      <c r="E218" s="3">
        <v>7465500</v>
      </c>
    </row>
    <row r="219" spans="2:13" ht="12.75">
      <c r="B219" s="34" t="s">
        <v>1175</v>
      </c>
      <c r="C219" s="3">
        <v>3401100</v>
      </c>
      <c r="D219" s="3">
        <v>5758300</v>
      </c>
      <c r="E219" s="3">
        <v>8558400</v>
      </c>
      <c r="G219" s="3">
        <f aca="true" t="shared" si="44" ref="G219:I221">C42-C218</f>
        <v>-78700</v>
      </c>
      <c r="H219" s="3">
        <f t="shared" si="44"/>
        <v>679000</v>
      </c>
      <c r="I219" s="3">
        <f t="shared" si="44"/>
        <v>1415900</v>
      </c>
      <c r="K219" s="49">
        <f aca="true" t="shared" si="45" ref="K219:M221">G219/C218</f>
        <v>-0.026611212551565563</v>
      </c>
      <c r="L219" s="49">
        <f t="shared" si="45"/>
        <v>0.13560472918996644</v>
      </c>
      <c r="M219" s="49">
        <f t="shared" si="45"/>
        <v>0.18965909851985802</v>
      </c>
    </row>
    <row r="220" spans="2:13" ht="12.75">
      <c r="B220" s="34" t="s">
        <v>1176</v>
      </c>
      <c r="C220" s="3">
        <v>3992500</v>
      </c>
      <c r="D220" s="3">
        <v>6759800</v>
      </c>
      <c r="E220" s="3">
        <v>10078500</v>
      </c>
      <c r="G220" s="3">
        <f t="shared" si="44"/>
        <v>-90700</v>
      </c>
      <c r="H220" s="3">
        <f t="shared" si="44"/>
        <v>780900</v>
      </c>
      <c r="I220" s="3">
        <f t="shared" si="44"/>
        <v>1655400</v>
      </c>
      <c r="K220" s="49">
        <f t="shared" si="45"/>
        <v>-0.026667842756755166</v>
      </c>
      <c r="L220" s="49">
        <f t="shared" si="45"/>
        <v>0.13561294131948665</v>
      </c>
      <c r="M220" s="49">
        <f t="shared" si="45"/>
        <v>0.19342400448681996</v>
      </c>
    </row>
    <row r="221" spans="7:13" ht="12.75">
      <c r="G221" s="3">
        <f t="shared" si="44"/>
        <v>-106300</v>
      </c>
      <c r="H221" s="3">
        <f t="shared" si="44"/>
        <v>916700</v>
      </c>
      <c r="I221" s="3">
        <f t="shared" si="44"/>
        <v>1911500</v>
      </c>
      <c r="K221" s="49">
        <f t="shared" si="45"/>
        <v>-0.02662492172824045</v>
      </c>
      <c r="L221" s="49">
        <f t="shared" si="45"/>
        <v>0.135610521021332</v>
      </c>
      <c r="M221" s="49">
        <f t="shared" si="45"/>
        <v>0.18966115989482563</v>
      </c>
    </row>
    <row r="222" spans="2:3" ht="12.75">
      <c r="B222" s="33" t="s">
        <v>1402</v>
      </c>
      <c r="C222" t="s">
        <v>1185</v>
      </c>
    </row>
    <row r="223" spans="2:5" ht="12.75">
      <c r="B223" s="34" t="s">
        <v>1174</v>
      </c>
      <c r="C223" s="3">
        <v>235600</v>
      </c>
      <c r="D223" s="3">
        <v>408400</v>
      </c>
      <c r="E223" s="3">
        <v>666100</v>
      </c>
    </row>
    <row r="224" spans="2:13" ht="12.75">
      <c r="B224" s="34" t="s">
        <v>1175</v>
      </c>
      <c r="C224" s="3">
        <v>270900</v>
      </c>
      <c r="D224" s="3">
        <v>469700</v>
      </c>
      <c r="E224" s="3">
        <v>766100</v>
      </c>
      <c r="G224" s="3">
        <f aca="true" t="shared" si="46" ref="G224:I226">C47-C223</f>
        <v>-232900</v>
      </c>
      <c r="H224" s="3">
        <f t="shared" si="46"/>
        <v>-402447</v>
      </c>
      <c r="I224" s="3">
        <f t="shared" si="46"/>
        <v>-655931</v>
      </c>
      <c r="K224" s="49">
        <f aca="true" t="shared" si="47" ref="K224:M226">G224/C223</f>
        <v>-0.9885398981324278</v>
      </c>
      <c r="L224" s="49">
        <f t="shared" si="47"/>
        <v>-0.9854236043095005</v>
      </c>
      <c r="M224" s="49">
        <f t="shared" si="47"/>
        <v>-0.9847335234949707</v>
      </c>
    </row>
    <row r="225" spans="2:13" ht="12.75">
      <c r="B225" s="34" t="s">
        <v>1176</v>
      </c>
      <c r="C225" s="3">
        <v>318000</v>
      </c>
      <c r="D225" s="3">
        <v>551400</v>
      </c>
      <c r="E225" s="3">
        <v>899300</v>
      </c>
      <c r="G225" s="3">
        <f t="shared" si="46"/>
        <v>-267797</v>
      </c>
      <c r="H225" s="3">
        <f t="shared" si="46"/>
        <v>-462847</v>
      </c>
      <c r="I225" s="3">
        <f t="shared" si="46"/>
        <v>-754404</v>
      </c>
      <c r="K225" s="49">
        <f t="shared" si="47"/>
        <v>-0.9885455887781469</v>
      </c>
      <c r="L225" s="49">
        <f t="shared" si="47"/>
        <v>-0.9854098360655738</v>
      </c>
      <c r="M225" s="49">
        <f t="shared" si="47"/>
        <v>-0.9847330635687247</v>
      </c>
    </row>
    <row r="226" spans="7:13" ht="12.75">
      <c r="G226" s="3">
        <f t="shared" si="46"/>
        <v>-314357</v>
      </c>
      <c r="H226" s="3">
        <f t="shared" si="46"/>
        <v>-543362</v>
      </c>
      <c r="I226" s="3">
        <f t="shared" si="46"/>
        <v>-885572</v>
      </c>
      <c r="K226" s="49">
        <f t="shared" si="47"/>
        <v>-0.9885440251572327</v>
      </c>
      <c r="L226" s="49">
        <f t="shared" si="47"/>
        <v>-0.9854225607544432</v>
      </c>
      <c r="M226" s="49">
        <f t="shared" si="47"/>
        <v>-0.9847347937284555</v>
      </c>
    </row>
    <row r="227" spans="2:3" ht="12.75">
      <c r="B227" s="33" t="s">
        <v>1398</v>
      </c>
      <c r="C227" t="s">
        <v>1186</v>
      </c>
    </row>
    <row r="228" spans="2:5" ht="12.75">
      <c r="B228" s="34" t="s">
        <v>1174</v>
      </c>
      <c r="C228" s="3">
        <v>10080</v>
      </c>
      <c r="D228" s="3">
        <v>17730</v>
      </c>
      <c r="E228" s="3">
        <v>25510</v>
      </c>
    </row>
    <row r="229" spans="2:13" ht="12.75">
      <c r="B229" s="34" t="s">
        <v>1175</v>
      </c>
      <c r="C229" s="3">
        <v>11592</v>
      </c>
      <c r="D229" s="3">
        <v>20390</v>
      </c>
      <c r="E229" s="3">
        <v>29337</v>
      </c>
      <c r="G229" s="3">
        <f aca="true" t="shared" si="48" ref="G229:I231">C52-C228</f>
        <v>1240</v>
      </c>
      <c r="H229" s="3">
        <f t="shared" si="48"/>
        <v>5150</v>
      </c>
      <c r="I229" s="3">
        <f t="shared" si="48"/>
        <v>8380</v>
      </c>
      <c r="K229" s="49">
        <f aca="true" t="shared" si="49" ref="K229:M231">G229/C228</f>
        <v>0.12301587301587301</v>
      </c>
      <c r="L229" s="49">
        <f t="shared" si="49"/>
        <v>0.290468133107727</v>
      </c>
      <c r="M229" s="49">
        <f t="shared" si="49"/>
        <v>0.3284986279890239</v>
      </c>
    </row>
    <row r="230" spans="2:13" ht="12.75">
      <c r="B230" s="34" t="s">
        <v>1176</v>
      </c>
      <c r="C230" s="3">
        <v>13608</v>
      </c>
      <c r="D230" s="3">
        <v>23936</v>
      </c>
      <c r="E230" s="3">
        <v>34439</v>
      </c>
      <c r="G230" s="3">
        <f t="shared" si="48"/>
        <v>1438</v>
      </c>
      <c r="H230" s="3">
        <f t="shared" si="48"/>
        <v>5950</v>
      </c>
      <c r="I230" s="3">
        <f t="shared" si="48"/>
        <v>9713</v>
      </c>
      <c r="K230" s="49">
        <f t="shared" si="49"/>
        <v>0.12405106970324362</v>
      </c>
      <c r="L230" s="49">
        <f t="shared" si="49"/>
        <v>0.2918097106424718</v>
      </c>
      <c r="M230" s="49">
        <f t="shared" si="49"/>
        <v>0.33108361454818147</v>
      </c>
    </row>
    <row r="231" spans="7:13" ht="12.75">
      <c r="G231" s="3">
        <f t="shared" si="48"/>
        <v>1642</v>
      </c>
      <c r="H231" s="3">
        <f t="shared" si="48"/>
        <v>7024</v>
      </c>
      <c r="I231" s="3">
        <f t="shared" si="48"/>
        <v>11311</v>
      </c>
      <c r="K231" s="49">
        <f t="shared" si="49"/>
        <v>0.12066431510875955</v>
      </c>
      <c r="L231" s="49">
        <f t="shared" si="49"/>
        <v>0.2934491978609626</v>
      </c>
      <c r="M231" s="49">
        <f t="shared" si="49"/>
        <v>0.3284357850111792</v>
      </c>
    </row>
    <row r="232" spans="2:3" ht="12.75">
      <c r="B232" s="33" t="s">
        <v>1394</v>
      </c>
      <c r="C232" t="s">
        <v>1187</v>
      </c>
    </row>
    <row r="233" spans="2:5" ht="12.75">
      <c r="B233" s="34" t="s">
        <v>1174</v>
      </c>
      <c r="C233" s="3">
        <v>111500</v>
      </c>
      <c r="D233" s="3">
        <v>193200</v>
      </c>
      <c r="E233" s="3">
        <v>315100</v>
      </c>
    </row>
    <row r="234" spans="2:13" ht="12.75">
      <c r="B234" s="34" t="s">
        <v>1175</v>
      </c>
      <c r="C234" s="3">
        <v>128200</v>
      </c>
      <c r="D234" s="3">
        <v>222200</v>
      </c>
      <c r="E234" s="3">
        <v>362400</v>
      </c>
      <c r="G234" s="3">
        <f aca="true" t="shared" si="50" ref="G234:I236">C57-C233</f>
        <v>7380</v>
      </c>
      <c r="H234" s="3">
        <f t="shared" si="50"/>
        <v>69000</v>
      </c>
      <c r="I234" s="3">
        <f t="shared" si="50"/>
        <v>132830</v>
      </c>
      <c r="K234" s="49">
        <f aca="true" t="shared" si="51" ref="K234:M236">G234/C233</f>
        <v>0.0661883408071749</v>
      </c>
      <c r="L234" s="49">
        <f t="shared" si="51"/>
        <v>0.35714285714285715</v>
      </c>
      <c r="M234" s="49">
        <f t="shared" si="51"/>
        <v>0.421548714693748</v>
      </c>
    </row>
    <row r="235" spans="2:13" ht="12.75">
      <c r="B235" s="34" t="s">
        <v>1176</v>
      </c>
      <c r="C235" s="3">
        <v>150500</v>
      </c>
      <c r="D235" s="3">
        <v>260900</v>
      </c>
      <c r="E235" s="3">
        <v>425400</v>
      </c>
      <c r="G235" s="3">
        <f t="shared" si="50"/>
        <v>8420</v>
      </c>
      <c r="H235" s="3">
        <f t="shared" si="50"/>
        <v>79680</v>
      </c>
      <c r="I235" s="3">
        <f t="shared" si="50"/>
        <v>152800</v>
      </c>
      <c r="K235" s="49">
        <f t="shared" si="51"/>
        <v>0.06567862714508581</v>
      </c>
      <c r="L235" s="49">
        <f t="shared" si="51"/>
        <v>0.3585958595859586</v>
      </c>
      <c r="M235" s="49">
        <f t="shared" si="51"/>
        <v>0.4216335540838852</v>
      </c>
    </row>
    <row r="236" spans="7:13" ht="12.75">
      <c r="G236" s="3">
        <f t="shared" si="50"/>
        <v>9925</v>
      </c>
      <c r="H236" s="3">
        <f t="shared" si="50"/>
        <v>93190</v>
      </c>
      <c r="I236" s="3">
        <f t="shared" si="50"/>
        <v>179270</v>
      </c>
      <c r="K236" s="49">
        <f t="shared" si="51"/>
        <v>0.0659468438538206</v>
      </c>
      <c r="L236" s="49">
        <f t="shared" si="51"/>
        <v>0.3571866615561518</v>
      </c>
      <c r="M236" s="49">
        <f t="shared" si="51"/>
        <v>0.42141513869299485</v>
      </c>
    </row>
    <row r="237" spans="2:3" ht="12.75">
      <c r="B237" s="33" t="s">
        <v>1010</v>
      </c>
      <c r="C237" t="s">
        <v>1188</v>
      </c>
    </row>
    <row r="238" spans="2:5" ht="12.75">
      <c r="B238" s="34" t="s">
        <v>1174</v>
      </c>
      <c r="C238" s="3">
        <v>18150</v>
      </c>
      <c r="D238" s="3">
        <v>36240</v>
      </c>
      <c r="E238" s="3">
        <v>54630</v>
      </c>
    </row>
    <row r="239" spans="2:13" ht="12.75">
      <c r="B239" s="34" t="s">
        <v>1175</v>
      </c>
      <c r="C239" s="3">
        <v>20870</v>
      </c>
      <c r="D239" s="3">
        <v>41690</v>
      </c>
      <c r="E239" s="3">
        <v>62830</v>
      </c>
      <c r="G239" s="3">
        <f aca="true" t="shared" si="52" ref="G239:I241">C62-C238</f>
        <v>3210</v>
      </c>
      <c r="H239" s="3">
        <f t="shared" si="52"/>
        <v>11130</v>
      </c>
      <c r="I239" s="3">
        <f t="shared" si="52"/>
        <v>39800</v>
      </c>
      <c r="K239" s="49">
        <f aca="true" t="shared" si="53" ref="K239:M241">G239/C238</f>
        <v>0.1768595041322314</v>
      </c>
      <c r="L239" s="49">
        <f t="shared" si="53"/>
        <v>0.30711920529801323</v>
      </c>
      <c r="M239" s="49">
        <f t="shared" si="53"/>
        <v>0.7285374336445176</v>
      </c>
    </row>
    <row r="240" spans="2:13" ht="12.75">
      <c r="B240" s="34" t="s">
        <v>1176</v>
      </c>
      <c r="C240" s="3">
        <v>24500</v>
      </c>
      <c r="D240" s="3">
        <v>48930</v>
      </c>
      <c r="E240" s="3">
        <v>73770</v>
      </c>
      <c r="G240" s="3">
        <f t="shared" si="52"/>
        <v>5180</v>
      </c>
      <c r="H240" s="3">
        <f t="shared" si="52"/>
        <v>12970</v>
      </c>
      <c r="I240" s="3">
        <f t="shared" si="52"/>
        <v>45590</v>
      </c>
      <c r="K240" s="49">
        <f t="shared" si="53"/>
        <v>0.24820316243411594</v>
      </c>
      <c r="L240" s="49">
        <f t="shared" si="53"/>
        <v>0.31110578076277284</v>
      </c>
      <c r="M240" s="49">
        <f t="shared" si="53"/>
        <v>0.7256087856119688</v>
      </c>
    </row>
    <row r="241" spans="7:13" ht="12.75">
      <c r="G241" s="3">
        <f t="shared" si="52"/>
        <v>6030</v>
      </c>
      <c r="H241" s="3">
        <f t="shared" si="52"/>
        <v>16000</v>
      </c>
      <c r="I241" s="3">
        <f t="shared" si="52"/>
        <v>54180</v>
      </c>
      <c r="K241" s="49">
        <f t="shared" si="53"/>
        <v>0.24612244897959185</v>
      </c>
      <c r="L241" s="49">
        <f t="shared" si="53"/>
        <v>0.32699775189045577</v>
      </c>
      <c r="M241" s="49">
        <f t="shared" si="53"/>
        <v>0.7344448962993086</v>
      </c>
    </row>
    <row r="242" spans="2:3" ht="12.75">
      <c r="B242" s="33" t="s">
        <v>1392</v>
      </c>
      <c r="C242" t="s">
        <v>1189</v>
      </c>
    </row>
    <row r="243" spans="2:5" ht="12.75">
      <c r="B243" s="34" t="s">
        <v>1174</v>
      </c>
      <c r="C243" s="3">
        <v>23900</v>
      </c>
      <c r="D243" s="3">
        <v>42600</v>
      </c>
      <c r="E243" s="3">
        <v>58700</v>
      </c>
    </row>
    <row r="244" spans="2:13" ht="12.75">
      <c r="B244" s="34" t="s">
        <v>1175</v>
      </c>
      <c r="C244" s="3">
        <v>27480</v>
      </c>
      <c r="D244" s="3">
        <v>48900</v>
      </c>
      <c r="E244" s="3">
        <v>67510</v>
      </c>
      <c r="G244" s="3">
        <f aca="true" t="shared" si="54" ref="G244:I246">C67-C243</f>
        <v>50</v>
      </c>
      <c r="H244" s="3">
        <f t="shared" si="54"/>
        <v>10180</v>
      </c>
      <c r="I244" s="3">
        <f t="shared" si="54"/>
        <v>22580</v>
      </c>
      <c r="K244" s="49">
        <f aca="true" t="shared" si="55" ref="K244:M246">G244/C243</f>
        <v>0.0020920502092050207</v>
      </c>
      <c r="L244" s="49">
        <f t="shared" si="55"/>
        <v>0.23896713615023474</v>
      </c>
      <c r="M244" s="49">
        <f t="shared" si="55"/>
        <v>0.38466780238500853</v>
      </c>
    </row>
    <row r="245" spans="2:13" ht="12.75">
      <c r="B245" s="34" t="s">
        <v>1176</v>
      </c>
      <c r="C245" s="3">
        <v>32260</v>
      </c>
      <c r="D245" s="3">
        <v>57510</v>
      </c>
      <c r="E245" s="3">
        <v>79250</v>
      </c>
      <c r="G245" s="3">
        <f t="shared" si="54"/>
        <v>60</v>
      </c>
      <c r="H245" s="3">
        <f t="shared" si="54"/>
        <v>11810</v>
      </c>
      <c r="I245" s="3">
        <f t="shared" si="54"/>
        <v>25950</v>
      </c>
      <c r="K245" s="49">
        <f t="shared" si="55"/>
        <v>0.002183406113537118</v>
      </c>
      <c r="L245" s="49">
        <f t="shared" si="55"/>
        <v>0.24151329243353784</v>
      </c>
      <c r="M245" s="49">
        <f t="shared" si="55"/>
        <v>0.38438749814842244</v>
      </c>
    </row>
    <row r="246" spans="7:13" ht="12.75">
      <c r="G246" s="3">
        <f t="shared" si="54"/>
        <v>80</v>
      </c>
      <c r="H246" s="3">
        <f t="shared" si="54"/>
        <v>13760</v>
      </c>
      <c r="I246" s="3">
        <f t="shared" si="54"/>
        <v>30480</v>
      </c>
      <c r="K246" s="49">
        <f t="shared" si="55"/>
        <v>0.0024798512089274642</v>
      </c>
      <c r="L246" s="49">
        <f t="shared" si="55"/>
        <v>0.23926273691531907</v>
      </c>
      <c r="M246" s="49">
        <f t="shared" si="55"/>
        <v>0.3846056782334385</v>
      </c>
    </row>
    <row r="247" spans="2:3" ht="12.75">
      <c r="B247" s="33" t="s">
        <v>1393</v>
      </c>
      <c r="C247" t="s">
        <v>1190</v>
      </c>
    </row>
    <row r="248" spans="2:5" ht="12.75">
      <c r="B248" s="34" t="s">
        <v>1174</v>
      </c>
      <c r="C248" s="3">
        <v>22500</v>
      </c>
      <c r="D248" s="3">
        <v>40200</v>
      </c>
      <c r="E248" s="3">
        <v>55400</v>
      </c>
    </row>
    <row r="249" spans="2:13" ht="12.75">
      <c r="B249" s="34" t="s">
        <v>1175</v>
      </c>
      <c r="C249" s="3">
        <v>25870</v>
      </c>
      <c r="D249" s="3">
        <v>46230</v>
      </c>
      <c r="E249" s="3">
        <v>63710</v>
      </c>
      <c r="G249" s="3">
        <f aca="true" t="shared" si="56" ref="G249:I251">C72-C248</f>
        <v>680</v>
      </c>
      <c r="H249" s="3">
        <f t="shared" si="56"/>
        <v>9480</v>
      </c>
      <c r="I249" s="3">
        <f t="shared" si="56"/>
        <v>15000</v>
      </c>
      <c r="K249" s="49">
        <f aca="true" t="shared" si="57" ref="K249:M251">G249/C248</f>
        <v>0.030222222222222223</v>
      </c>
      <c r="L249" s="49">
        <f t="shared" si="57"/>
        <v>0.23582089552238805</v>
      </c>
      <c r="M249" s="49">
        <f t="shared" si="57"/>
        <v>0.27075812274368233</v>
      </c>
    </row>
    <row r="250" spans="2:13" ht="12.75">
      <c r="B250" s="34" t="s">
        <v>1176</v>
      </c>
      <c r="C250" s="3">
        <v>30370</v>
      </c>
      <c r="D250" s="3">
        <v>54270</v>
      </c>
      <c r="E250" s="3">
        <v>74790</v>
      </c>
      <c r="G250" s="3">
        <f t="shared" si="56"/>
        <v>2120</v>
      </c>
      <c r="H250" s="3">
        <f t="shared" si="56"/>
        <v>10920</v>
      </c>
      <c r="I250" s="3">
        <f t="shared" si="56"/>
        <v>17240</v>
      </c>
      <c r="K250" s="49">
        <f t="shared" si="57"/>
        <v>0.08194820255121762</v>
      </c>
      <c r="L250" s="49">
        <f t="shared" si="57"/>
        <v>0.23621025308241403</v>
      </c>
      <c r="M250" s="49">
        <f t="shared" si="57"/>
        <v>0.27060116151310626</v>
      </c>
    </row>
    <row r="251" spans="7:13" ht="12.75">
      <c r="G251" s="3">
        <f t="shared" si="56"/>
        <v>2480</v>
      </c>
      <c r="H251" s="3">
        <f t="shared" si="56"/>
        <v>12820</v>
      </c>
      <c r="I251" s="3">
        <f t="shared" si="56"/>
        <v>20250</v>
      </c>
      <c r="K251" s="49">
        <f t="shared" si="57"/>
        <v>0.08165953243332236</v>
      </c>
      <c r="L251" s="49">
        <f t="shared" si="57"/>
        <v>0.23622627602727106</v>
      </c>
      <c r="M251" s="49">
        <f t="shared" si="57"/>
        <v>0.27075812274368233</v>
      </c>
    </row>
    <row r="252" spans="2:3" ht="12.75">
      <c r="B252" s="33" t="s">
        <v>1413</v>
      </c>
      <c r="C252" t="s">
        <v>1191</v>
      </c>
    </row>
    <row r="253" spans="2:5" ht="12.75">
      <c r="B253" s="34" t="s">
        <v>1174</v>
      </c>
      <c r="C253" s="3">
        <v>15420</v>
      </c>
      <c r="D253" s="3">
        <v>28640</v>
      </c>
      <c r="E253" s="3">
        <v>43200</v>
      </c>
    </row>
    <row r="254" spans="2:13" ht="12.75">
      <c r="B254" s="34" t="s">
        <v>1175</v>
      </c>
      <c r="C254" s="3">
        <v>17730</v>
      </c>
      <c r="D254" s="3">
        <v>32940</v>
      </c>
      <c r="E254" s="3">
        <v>49680</v>
      </c>
      <c r="G254" s="3">
        <f aca="true" t="shared" si="58" ref="G254:I256">C77-C253</f>
        <v>325</v>
      </c>
      <c r="H254" s="3">
        <f t="shared" si="58"/>
        <v>10020</v>
      </c>
      <c r="I254" s="3">
        <f t="shared" si="58"/>
        <v>31730</v>
      </c>
      <c r="K254" s="49">
        <f aca="true" t="shared" si="59" ref="K254:M256">G254/C253</f>
        <v>0.021076523994811934</v>
      </c>
      <c r="L254" s="49">
        <f t="shared" si="59"/>
        <v>0.3498603351955307</v>
      </c>
      <c r="M254" s="49">
        <f t="shared" si="59"/>
        <v>0.7344907407407407</v>
      </c>
    </row>
    <row r="255" spans="2:13" ht="12.75">
      <c r="B255" s="34" t="s">
        <v>1176</v>
      </c>
      <c r="C255" s="3">
        <v>20810</v>
      </c>
      <c r="D255" s="3">
        <v>38670</v>
      </c>
      <c r="E255" s="3">
        <v>58320</v>
      </c>
      <c r="G255" s="3">
        <f t="shared" si="58"/>
        <v>1470</v>
      </c>
      <c r="H255" s="3">
        <f t="shared" si="58"/>
        <v>11670</v>
      </c>
      <c r="I255" s="3">
        <f t="shared" si="58"/>
        <v>36350</v>
      </c>
      <c r="K255" s="49">
        <f t="shared" si="59"/>
        <v>0.0829103214890017</v>
      </c>
      <c r="L255" s="49">
        <f t="shared" si="59"/>
        <v>0.3542805100182149</v>
      </c>
      <c r="M255" s="49">
        <f t="shared" si="59"/>
        <v>0.731682769726248</v>
      </c>
    </row>
    <row r="256" spans="7:13" ht="12.75">
      <c r="G256" s="3">
        <f t="shared" si="58"/>
        <v>1685</v>
      </c>
      <c r="H256" s="3">
        <f t="shared" si="58"/>
        <v>13890</v>
      </c>
      <c r="I256" s="3">
        <f t="shared" si="58"/>
        <v>43200</v>
      </c>
      <c r="K256" s="49">
        <f t="shared" si="59"/>
        <v>0.08097068716962999</v>
      </c>
      <c r="L256" s="49">
        <f t="shared" si="59"/>
        <v>0.3591931730023274</v>
      </c>
      <c r="M256" s="49">
        <f t="shared" si="59"/>
        <v>0.7407407407407407</v>
      </c>
    </row>
    <row r="257" spans="2:3" ht="12.75">
      <c r="B257" s="33" t="s">
        <v>1424</v>
      </c>
      <c r="C257" t="s">
        <v>1192</v>
      </c>
    </row>
    <row r="258" spans="2:5" ht="12.75">
      <c r="B258" s="34" t="s">
        <v>1174</v>
      </c>
      <c r="C258" s="3">
        <v>1417</v>
      </c>
      <c r="D258" s="3">
        <v>2764</v>
      </c>
      <c r="E258" s="3">
        <v>3871</v>
      </c>
    </row>
    <row r="259" spans="2:13" ht="12.75">
      <c r="B259" s="34" t="s">
        <v>1175</v>
      </c>
      <c r="C259" s="3">
        <v>1630</v>
      </c>
      <c r="D259" s="3">
        <v>3179</v>
      </c>
      <c r="E259" s="3">
        <v>4453</v>
      </c>
      <c r="G259" s="3">
        <f aca="true" t="shared" si="60" ref="G259:I261">C82-C258</f>
        <v>173</v>
      </c>
      <c r="H259" s="3">
        <f t="shared" si="60"/>
        <v>716</v>
      </c>
      <c r="I259" s="3">
        <f t="shared" si="60"/>
        <v>1139</v>
      </c>
      <c r="K259" s="49">
        <f aca="true" t="shared" si="61" ref="K259:M261">G259/C258</f>
        <v>0.12208892025405788</v>
      </c>
      <c r="L259" s="49">
        <f t="shared" si="61"/>
        <v>0.2590448625180897</v>
      </c>
      <c r="M259" s="49">
        <f t="shared" si="61"/>
        <v>0.29423921467321107</v>
      </c>
    </row>
    <row r="260" spans="2:13" ht="12.75">
      <c r="B260" s="34" t="s">
        <v>1176</v>
      </c>
      <c r="C260" s="3">
        <v>1913</v>
      </c>
      <c r="D260" s="3">
        <v>3731</v>
      </c>
      <c r="E260" s="3">
        <v>5227</v>
      </c>
      <c r="G260" s="3">
        <f t="shared" si="60"/>
        <v>200</v>
      </c>
      <c r="H260" s="3">
        <f t="shared" si="60"/>
        <v>831</v>
      </c>
      <c r="I260" s="3">
        <f t="shared" si="60"/>
        <v>1317</v>
      </c>
      <c r="K260" s="49">
        <f t="shared" si="61"/>
        <v>0.12269938650306748</v>
      </c>
      <c r="L260" s="49">
        <f t="shared" si="61"/>
        <v>0.261402956904687</v>
      </c>
      <c r="M260" s="49">
        <f t="shared" si="61"/>
        <v>0.29575567033460587</v>
      </c>
    </row>
    <row r="261" spans="7:13" ht="12.75">
      <c r="G261" s="3">
        <f t="shared" si="60"/>
        <v>237</v>
      </c>
      <c r="H261" s="3">
        <f t="shared" si="60"/>
        <v>969</v>
      </c>
      <c r="I261" s="3">
        <f t="shared" si="60"/>
        <v>1543</v>
      </c>
      <c r="K261" s="49">
        <f t="shared" si="61"/>
        <v>0.12388917929952953</v>
      </c>
      <c r="L261" s="49">
        <f t="shared" si="61"/>
        <v>0.2597158938622353</v>
      </c>
      <c r="M261" s="49">
        <f t="shared" si="61"/>
        <v>0.2951980103309738</v>
      </c>
    </row>
    <row r="262" spans="2:3" ht="12.75">
      <c r="B262" s="33" t="s">
        <v>1401</v>
      </c>
      <c r="C262" t="s">
        <v>1193</v>
      </c>
    </row>
    <row r="263" spans="2:5" ht="12.75">
      <c r="B263" s="34" t="s">
        <v>1174</v>
      </c>
      <c r="C263" s="3">
        <v>4998</v>
      </c>
      <c r="D263" s="3">
        <v>9723</v>
      </c>
      <c r="E263" s="3">
        <v>13997</v>
      </c>
    </row>
    <row r="264" spans="2:13" ht="12.75">
      <c r="B264" s="34" t="s">
        <v>1175</v>
      </c>
      <c r="C264" s="3">
        <v>5744</v>
      </c>
      <c r="D264" s="3">
        <v>11183</v>
      </c>
      <c r="E264" s="3">
        <v>16097</v>
      </c>
      <c r="G264" s="3">
        <f aca="true" t="shared" si="62" ref="G264:I266">C87-C263</f>
        <v>2</v>
      </c>
      <c r="H264" s="3">
        <f t="shared" si="62"/>
        <v>777</v>
      </c>
      <c r="I264" s="3">
        <f t="shared" si="62"/>
        <v>1603</v>
      </c>
      <c r="K264" s="49">
        <f aca="true" t="shared" si="63" ref="K264:M266">G264/C263</f>
        <v>0.00040016006402561027</v>
      </c>
      <c r="L264" s="49">
        <f t="shared" si="63"/>
        <v>0.07991360691144708</v>
      </c>
      <c r="M264" s="49">
        <f t="shared" si="63"/>
        <v>0.11452454097306566</v>
      </c>
    </row>
    <row r="265" spans="2:13" ht="12.75">
      <c r="B265" s="34" t="s">
        <v>1176</v>
      </c>
      <c r="C265" s="3">
        <v>6741</v>
      </c>
      <c r="D265" s="3">
        <v>13125</v>
      </c>
      <c r="E265" s="3">
        <v>18900</v>
      </c>
      <c r="G265" s="3">
        <f t="shared" si="62"/>
        <v>56</v>
      </c>
      <c r="H265" s="3">
        <f t="shared" si="62"/>
        <v>917</v>
      </c>
      <c r="I265" s="3">
        <f t="shared" si="62"/>
        <v>1903</v>
      </c>
      <c r="K265" s="49">
        <f t="shared" si="63"/>
        <v>0.009749303621169917</v>
      </c>
      <c r="L265" s="49">
        <f t="shared" si="63"/>
        <v>0.08199946347134043</v>
      </c>
      <c r="M265" s="49">
        <f t="shared" si="63"/>
        <v>0.11822078648195315</v>
      </c>
    </row>
    <row r="266" spans="7:13" ht="12.75">
      <c r="G266" s="3">
        <f t="shared" si="62"/>
        <v>-41</v>
      </c>
      <c r="H266" s="3">
        <f t="shared" si="62"/>
        <v>1175</v>
      </c>
      <c r="I266" s="3">
        <f t="shared" si="62"/>
        <v>2200</v>
      </c>
      <c r="K266" s="49">
        <f t="shared" si="63"/>
        <v>-0.0060821836522771105</v>
      </c>
      <c r="L266" s="49">
        <f t="shared" si="63"/>
        <v>0.08952380952380952</v>
      </c>
      <c r="M266" s="49">
        <f t="shared" si="63"/>
        <v>0.1164021164021164</v>
      </c>
    </row>
    <row r="267" spans="2:3" ht="12.75">
      <c r="B267" s="33" t="s">
        <v>1386</v>
      </c>
      <c r="C267" t="s">
        <v>1194</v>
      </c>
    </row>
    <row r="268" spans="2:5" ht="12.75">
      <c r="B268" s="34" t="s">
        <v>1174</v>
      </c>
      <c r="C268" s="3">
        <v>17300</v>
      </c>
      <c r="D268" s="3">
        <v>32440</v>
      </c>
      <c r="E268" s="3">
        <v>45540</v>
      </c>
    </row>
    <row r="269" spans="2:13" ht="12.75">
      <c r="B269" s="34" t="s">
        <v>1175</v>
      </c>
      <c r="C269" s="3">
        <v>19890</v>
      </c>
      <c r="D269" s="3">
        <v>37310</v>
      </c>
      <c r="E269" s="3">
        <v>52380</v>
      </c>
      <c r="G269" s="3">
        <f aca="true" t="shared" si="64" ref="G269:I271">C92-C268</f>
        <v>70</v>
      </c>
      <c r="H269" s="3">
        <f t="shared" si="64"/>
        <v>9480</v>
      </c>
      <c r="I269" s="3">
        <f t="shared" si="64"/>
        <v>17870</v>
      </c>
      <c r="K269" s="49">
        <f aca="true" t="shared" si="65" ref="K269:M271">G269/C268</f>
        <v>0.004046242774566474</v>
      </c>
      <c r="L269" s="49">
        <f t="shared" si="65"/>
        <v>0.2922318125770654</v>
      </c>
      <c r="M269" s="49">
        <f t="shared" si="65"/>
        <v>0.39240228370663155</v>
      </c>
    </row>
    <row r="270" spans="2:13" ht="12.75">
      <c r="B270" s="34" t="s">
        <v>1176</v>
      </c>
      <c r="C270" s="3">
        <v>23350</v>
      </c>
      <c r="D270" s="3">
        <v>43800</v>
      </c>
      <c r="E270" s="3">
        <v>61480</v>
      </c>
      <c r="G270" s="3">
        <f t="shared" si="64"/>
        <v>70</v>
      </c>
      <c r="H270" s="3">
        <f t="shared" si="64"/>
        <v>10890</v>
      </c>
      <c r="I270" s="3">
        <f t="shared" si="64"/>
        <v>20530</v>
      </c>
      <c r="K270" s="49">
        <f t="shared" si="65"/>
        <v>0.003519356460532931</v>
      </c>
      <c r="L270" s="49">
        <f t="shared" si="65"/>
        <v>0.29187885285446263</v>
      </c>
      <c r="M270" s="49">
        <f t="shared" si="65"/>
        <v>0.3919434898816342</v>
      </c>
    </row>
    <row r="271" spans="7:13" ht="12.75">
      <c r="G271" s="3">
        <f t="shared" si="64"/>
        <v>70</v>
      </c>
      <c r="H271" s="3">
        <f t="shared" si="64"/>
        <v>12830</v>
      </c>
      <c r="I271" s="3">
        <f t="shared" si="64"/>
        <v>24070</v>
      </c>
      <c r="K271" s="49">
        <f t="shared" si="65"/>
        <v>0.0029978586723768737</v>
      </c>
      <c r="L271" s="49">
        <f t="shared" si="65"/>
        <v>0.29292237442922375</v>
      </c>
      <c r="M271" s="49">
        <f t="shared" si="65"/>
        <v>0.3915094339622642</v>
      </c>
    </row>
    <row r="272" spans="2:3" ht="12.75">
      <c r="B272" s="33" t="s">
        <v>1029</v>
      </c>
      <c r="C272" t="s">
        <v>1195</v>
      </c>
    </row>
    <row r="273" spans="2:5" ht="12.75">
      <c r="B273" s="34" t="s">
        <v>1174</v>
      </c>
      <c r="C273" s="3">
        <v>3599</v>
      </c>
      <c r="D273" s="3">
        <v>8489</v>
      </c>
      <c r="E273" s="3">
        <v>11669</v>
      </c>
    </row>
    <row r="274" spans="2:13" ht="12.75">
      <c r="B274" s="34" t="s">
        <v>1175</v>
      </c>
      <c r="C274" s="3">
        <v>3909</v>
      </c>
      <c r="D274" s="3">
        <v>9759</v>
      </c>
      <c r="E274" s="3">
        <v>13649</v>
      </c>
      <c r="G274" s="3">
        <f aca="true" t="shared" si="66" ref="G274:I276">C97-C273</f>
        <v>580</v>
      </c>
      <c r="H274" s="3">
        <f t="shared" si="66"/>
        <v>3256</v>
      </c>
      <c r="I274" s="3">
        <f t="shared" si="66"/>
        <v>3471</v>
      </c>
      <c r="K274" s="49">
        <f aca="true" t="shared" si="67" ref="K274:M276">G274/C273</f>
        <v>0.1611558766323979</v>
      </c>
      <c r="L274" s="49">
        <f t="shared" si="67"/>
        <v>0.3835551890682059</v>
      </c>
      <c r="M274" s="49">
        <f t="shared" si="67"/>
        <v>0.29745479475533465</v>
      </c>
    </row>
    <row r="275" spans="2:13" ht="12.75">
      <c r="B275" s="34" t="s">
        <v>1176</v>
      </c>
      <c r="C275" s="3">
        <v>4499</v>
      </c>
      <c r="D275" s="3">
        <v>11459</v>
      </c>
      <c r="E275" s="3">
        <v>15759</v>
      </c>
      <c r="G275" s="3">
        <f t="shared" si="66"/>
        <v>600</v>
      </c>
      <c r="H275" s="3">
        <f t="shared" si="66"/>
        <v>3578</v>
      </c>
      <c r="I275" s="3">
        <f t="shared" si="66"/>
        <v>3801</v>
      </c>
      <c r="K275" s="49">
        <f t="shared" si="67"/>
        <v>0.15349194167306215</v>
      </c>
      <c r="L275" s="49">
        <f t="shared" si="67"/>
        <v>0.3666359258120709</v>
      </c>
      <c r="M275" s="49">
        <f t="shared" si="67"/>
        <v>0.2784819400688695</v>
      </c>
    </row>
    <row r="276" spans="7:13" ht="12.75">
      <c r="G276" s="3">
        <f t="shared" si="66"/>
        <v>630</v>
      </c>
      <c r="H276" s="3">
        <f t="shared" si="66"/>
        <v>3268</v>
      </c>
      <c r="I276" s="3">
        <f t="shared" si="66"/>
        <v>2860</v>
      </c>
      <c r="K276" s="49">
        <f t="shared" si="67"/>
        <v>0.14003111802622806</v>
      </c>
      <c r="L276" s="49">
        <f t="shared" si="67"/>
        <v>0.2851906798149926</v>
      </c>
      <c r="M276" s="49">
        <f t="shared" si="67"/>
        <v>0.18148359667491593</v>
      </c>
    </row>
    <row r="277" spans="2:3" ht="12.75">
      <c r="B277" s="33" t="s">
        <v>1396</v>
      </c>
      <c r="C277" t="s">
        <v>1196</v>
      </c>
    </row>
    <row r="278" spans="2:5" ht="12.75">
      <c r="B278" s="34" t="s">
        <v>1174</v>
      </c>
      <c r="C278" s="3">
        <v>335000</v>
      </c>
      <c r="D278" s="3">
        <v>625000</v>
      </c>
      <c r="E278" s="3">
        <v>910000</v>
      </c>
    </row>
    <row r="279" spans="2:13" ht="12.75">
      <c r="B279" s="34" t="s">
        <v>1175</v>
      </c>
      <c r="C279" s="3">
        <v>385000</v>
      </c>
      <c r="D279" s="3">
        <v>719000</v>
      </c>
      <c r="E279" s="3">
        <v>1047000</v>
      </c>
      <c r="G279" s="3">
        <f aca="true" t="shared" si="68" ref="G279:I281">C102-C278</f>
        <v>0</v>
      </c>
      <c r="H279" s="3">
        <f t="shared" si="68"/>
        <v>31300</v>
      </c>
      <c r="I279" s="3">
        <f t="shared" si="68"/>
        <v>45500</v>
      </c>
      <c r="K279" s="49">
        <f aca="true" t="shared" si="69" ref="K279:M281">G279/C278</f>
        <v>0</v>
      </c>
      <c r="L279" s="49">
        <f t="shared" si="69"/>
        <v>0.05008</v>
      </c>
      <c r="M279" s="49">
        <f t="shared" si="69"/>
        <v>0.05</v>
      </c>
    </row>
    <row r="280" spans="2:13" ht="12.75">
      <c r="B280" s="34" t="s">
        <v>1176</v>
      </c>
      <c r="C280" s="3">
        <v>452000</v>
      </c>
      <c r="D280" s="3">
        <v>844000</v>
      </c>
      <c r="E280" s="3">
        <v>1229000</v>
      </c>
      <c r="G280" s="3">
        <f t="shared" si="68"/>
        <v>19300</v>
      </c>
      <c r="H280" s="3">
        <f t="shared" si="68"/>
        <v>71900</v>
      </c>
      <c r="I280" s="3">
        <f t="shared" si="68"/>
        <v>104700</v>
      </c>
      <c r="K280" s="49">
        <f t="shared" si="69"/>
        <v>0.05012987012987013</v>
      </c>
      <c r="L280" s="49">
        <f t="shared" si="69"/>
        <v>0.1</v>
      </c>
      <c r="M280" s="49">
        <f t="shared" si="69"/>
        <v>0.1</v>
      </c>
    </row>
    <row r="281" spans="7:13" ht="12.75">
      <c r="G281" s="3">
        <f t="shared" si="68"/>
        <v>22600</v>
      </c>
      <c r="H281" s="3">
        <f t="shared" si="68"/>
        <v>84400</v>
      </c>
      <c r="I281" s="3">
        <f t="shared" si="68"/>
        <v>122900</v>
      </c>
      <c r="K281" s="49">
        <f t="shared" si="69"/>
        <v>0.05</v>
      </c>
      <c r="L281" s="49">
        <f t="shared" si="69"/>
        <v>0.1</v>
      </c>
      <c r="M281" s="49">
        <f t="shared" si="69"/>
        <v>0.1</v>
      </c>
    </row>
    <row r="282" spans="2:3" ht="12.75">
      <c r="B282" s="33" t="s">
        <v>1028</v>
      </c>
      <c r="C282" t="s">
        <v>1197</v>
      </c>
    </row>
    <row r="283" spans="2:5" ht="12.75">
      <c r="B283" s="34" t="s">
        <v>1174</v>
      </c>
      <c r="C283" s="3">
        <v>2889</v>
      </c>
      <c r="D283" s="3">
        <v>8799</v>
      </c>
      <c r="E283" s="3">
        <v>11999</v>
      </c>
    </row>
    <row r="284" spans="2:13" ht="12.75">
      <c r="B284" s="34" t="s">
        <v>1175</v>
      </c>
      <c r="C284" s="3">
        <v>3399</v>
      </c>
      <c r="D284" s="3">
        <v>9799</v>
      </c>
      <c r="E284" s="3">
        <v>13199</v>
      </c>
      <c r="G284" s="3">
        <f aca="true" t="shared" si="70" ref="G284:I286">C107-C283</f>
        <v>340</v>
      </c>
      <c r="H284" s="3">
        <f t="shared" si="70"/>
        <v>1190</v>
      </c>
      <c r="I284" s="3">
        <f t="shared" si="70"/>
        <v>2070</v>
      </c>
      <c r="K284" s="49">
        <f aca="true" t="shared" si="71" ref="K284:M286">G284/C283</f>
        <v>0.11768778123918311</v>
      </c>
      <c r="L284" s="49">
        <f t="shared" si="71"/>
        <v>0.13524264120922833</v>
      </c>
      <c r="M284" s="49">
        <f t="shared" si="71"/>
        <v>0.1725143761980165</v>
      </c>
    </row>
    <row r="285" spans="2:13" ht="12.75">
      <c r="B285" s="34" t="s">
        <v>1176</v>
      </c>
      <c r="C285" s="3">
        <v>3999</v>
      </c>
      <c r="D285" s="3">
        <v>10999</v>
      </c>
      <c r="E285" s="3">
        <v>14999</v>
      </c>
      <c r="G285" s="3">
        <f t="shared" si="70"/>
        <v>380</v>
      </c>
      <c r="H285" s="3">
        <f t="shared" si="70"/>
        <v>1330</v>
      </c>
      <c r="I285" s="3">
        <f t="shared" si="70"/>
        <v>1910</v>
      </c>
      <c r="K285" s="49">
        <f t="shared" si="71"/>
        <v>0.11179758752574287</v>
      </c>
      <c r="L285" s="49">
        <f t="shared" si="71"/>
        <v>0.13572813552403307</v>
      </c>
      <c r="M285" s="49">
        <f t="shared" si="71"/>
        <v>0.14470793241912266</v>
      </c>
    </row>
    <row r="286" spans="7:13" ht="12.75">
      <c r="G286" s="3">
        <f t="shared" si="70"/>
        <v>410</v>
      </c>
      <c r="H286" s="3">
        <f t="shared" si="70"/>
        <v>1520</v>
      </c>
      <c r="I286" s="3">
        <f t="shared" si="70"/>
        <v>1150</v>
      </c>
      <c r="K286" s="49">
        <f t="shared" si="71"/>
        <v>0.10252563140785197</v>
      </c>
      <c r="L286" s="49">
        <f t="shared" si="71"/>
        <v>0.1381943813073916</v>
      </c>
      <c r="M286" s="49">
        <f t="shared" si="71"/>
        <v>0.07667177811854124</v>
      </c>
    </row>
    <row r="287" spans="2:3" ht="12.75">
      <c r="B287" s="33" t="s">
        <v>1198</v>
      </c>
      <c r="C287" t="s">
        <v>1183</v>
      </c>
    </row>
    <row r="288" spans="2:5" ht="12.75">
      <c r="B288" s="34" t="s">
        <v>1170</v>
      </c>
      <c r="C288" s="3">
        <v>3700</v>
      </c>
      <c r="D288" s="3">
        <v>6600</v>
      </c>
      <c r="E288" s="3">
        <v>8300</v>
      </c>
    </row>
    <row r="289" spans="2:13" ht="12.75">
      <c r="B289" s="34" t="s">
        <v>1171</v>
      </c>
      <c r="C289" s="3">
        <v>4250</v>
      </c>
      <c r="D289" s="3">
        <v>7590</v>
      </c>
      <c r="E289" s="3">
        <v>9550</v>
      </c>
      <c r="G289" s="3">
        <f aca="true" t="shared" si="72" ref="G289:I291">C112-C288</f>
        <v>-38</v>
      </c>
      <c r="H289" s="3">
        <f t="shared" si="72"/>
        <v>1280</v>
      </c>
      <c r="I289" s="3">
        <f t="shared" si="72"/>
        <v>3140</v>
      </c>
      <c r="K289" s="49">
        <f aca="true" t="shared" si="73" ref="K289:M291">G289/C288</f>
        <v>-0.01027027027027027</v>
      </c>
      <c r="L289" s="49">
        <f t="shared" si="73"/>
        <v>0.19393939393939394</v>
      </c>
      <c r="M289" s="49">
        <f t="shared" si="73"/>
        <v>0.3783132530120482</v>
      </c>
    </row>
    <row r="290" spans="2:13" ht="12.75">
      <c r="B290" s="34" t="s">
        <v>1172</v>
      </c>
      <c r="C290" s="3">
        <v>4990</v>
      </c>
      <c r="D290" s="3">
        <v>8910</v>
      </c>
      <c r="E290" s="3">
        <v>11210</v>
      </c>
      <c r="G290" s="3">
        <f t="shared" si="72"/>
        <v>-32</v>
      </c>
      <c r="H290" s="3">
        <f t="shared" si="72"/>
        <v>1423</v>
      </c>
      <c r="I290" s="3">
        <f t="shared" si="72"/>
        <v>3540</v>
      </c>
      <c r="K290" s="49">
        <f t="shared" si="73"/>
        <v>-0.0075294117647058826</v>
      </c>
      <c r="L290" s="49">
        <f t="shared" si="73"/>
        <v>0.18748353096179182</v>
      </c>
      <c r="M290" s="49">
        <f t="shared" si="73"/>
        <v>0.3706806282722513</v>
      </c>
    </row>
    <row r="291" spans="7:13" ht="12.75">
      <c r="G291" s="3">
        <f t="shared" si="72"/>
        <v>-30</v>
      </c>
      <c r="H291" s="3">
        <f t="shared" si="72"/>
        <v>1648</v>
      </c>
      <c r="I291" s="3">
        <f t="shared" si="72"/>
        <v>4190</v>
      </c>
      <c r="K291" s="49">
        <f t="shared" si="73"/>
        <v>-0.006012024048096192</v>
      </c>
      <c r="L291" s="49">
        <f t="shared" si="73"/>
        <v>0.18496071829405164</v>
      </c>
      <c r="M291" s="49">
        <f t="shared" si="73"/>
        <v>0.37377341659232827</v>
      </c>
    </row>
    <row r="292" spans="2:3" ht="12.75">
      <c r="B292" s="33" t="s">
        <v>1011</v>
      </c>
      <c r="C292" t="s">
        <v>1199</v>
      </c>
    </row>
    <row r="293" spans="2:5" ht="12.75">
      <c r="B293" s="34" t="s">
        <v>1174</v>
      </c>
      <c r="C293" s="3">
        <v>3650</v>
      </c>
      <c r="D293" s="3">
        <v>7010</v>
      </c>
      <c r="E293" s="3">
        <v>10460</v>
      </c>
    </row>
    <row r="294" spans="2:13" ht="12.75">
      <c r="B294" s="34" t="s">
        <v>1175</v>
      </c>
      <c r="C294" s="3">
        <v>4190</v>
      </c>
      <c r="D294" s="3">
        <v>8070</v>
      </c>
      <c r="E294" s="3">
        <v>12030</v>
      </c>
      <c r="G294" s="3">
        <f aca="true" t="shared" si="74" ref="G294:I296">C117-C293</f>
        <v>550</v>
      </c>
      <c r="H294" s="3">
        <f t="shared" si="74"/>
        <v>2390</v>
      </c>
      <c r="I294" s="3">
        <f t="shared" si="74"/>
        <v>6140</v>
      </c>
      <c r="K294" s="49">
        <f aca="true" t="shared" si="75" ref="K294:M296">G294/C293</f>
        <v>0.1506849315068493</v>
      </c>
      <c r="L294" s="49">
        <f t="shared" si="75"/>
        <v>0.340941512125535</v>
      </c>
      <c r="M294" s="49">
        <f t="shared" si="75"/>
        <v>0.5869980879541109</v>
      </c>
    </row>
    <row r="295" spans="2:13" ht="12.75">
      <c r="B295" s="34" t="s">
        <v>1176</v>
      </c>
      <c r="C295" s="3">
        <v>4920</v>
      </c>
      <c r="D295" s="3">
        <v>9470</v>
      </c>
      <c r="E295" s="3">
        <v>14130</v>
      </c>
      <c r="G295" s="3">
        <f t="shared" si="74"/>
        <v>910</v>
      </c>
      <c r="H295" s="3">
        <f t="shared" si="74"/>
        <v>2730</v>
      </c>
      <c r="I295" s="3">
        <f t="shared" si="74"/>
        <v>6970</v>
      </c>
      <c r="K295" s="49">
        <f t="shared" si="75"/>
        <v>0.2171837708830549</v>
      </c>
      <c r="L295" s="49">
        <f t="shared" si="75"/>
        <v>0.3382899628252788</v>
      </c>
      <c r="M295" s="49">
        <f t="shared" si="75"/>
        <v>0.5793848711554447</v>
      </c>
    </row>
    <row r="296" spans="7:13" ht="12.75">
      <c r="G296" s="3">
        <f t="shared" si="74"/>
        <v>980</v>
      </c>
      <c r="H296" s="3">
        <f t="shared" si="74"/>
        <v>3330</v>
      </c>
      <c r="I296" s="3">
        <f t="shared" si="74"/>
        <v>8370</v>
      </c>
      <c r="K296" s="49">
        <f t="shared" si="75"/>
        <v>0.1991869918699187</v>
      </c>
      <c r="L296" s="49">
        <f t="shared" si="75"/>
        <v>0.35163674762407604</v>
      </c>
      <c r="M296" s="49">
        <f t="shared" si="75"/>
        <v>0.5923566878980892</v>
      </c>
    </row>
    <row r="297" spans="2:3" ht="12.75">
      <c r="B297" s="33" t="s">
        <v>1030</v>
      </c>
      <c r="C297" t="s">
        <v>1200</v>
      </c>
    </row>
    <row r="298" spans="2:5" ht="12.75">
      <c r="B298" s="34" t="s">
        <v>1174</v>
      </c>
      <c r="C298" s="3">
        <v>4299</v>
      </c>
      <c r="D298" s="3">
        <v>8139</v>
      </c>
      <c r="E298" s="3">
        <v>11209</v>
      </c>
    </row>
    <row r="299" spans="2:13" ht="12.75">
      <c r="B299" s="34" t="s">
        <v>1175</v>
      </c>
      <c r="C299" s="3">
        <v>4939</v>
      </c>
      <c r="D299" s="3">
        <v>9359</v>
      </c>
      <c r="E299" s="3">
        <v>12889</v>
      </c>
      <c r="G299" s="3">
        <f aca="true" t="shared" si="76" ref="G299:I301">C122-C298</f>
        <v>300</v>
      </c>
      <c r="H299" s="3">
        <f t="shared" si="76"/>
        <v>1460</v>
      </c>
      <c r="I299" s="3">
        <f t="shared" si="76"/>
        <v>2390</v>
      </c>
      <c r="K299" s="49">
        <f aca="true" t="shared" si="77" ref="K299:M301">G299/C298</f>
        <v>0.06978367062107467</v>
      </c>
      <c r="L299" s="49">
        <f t="shared" si="77"/>
        <v>0.17938321661137732</v>
      </c>
      <c r="M299" s="49">
        <f t="shared" si="77"/>
        <v>0.21322151842269604</v>
      </c>
    </row>
    <row r="300" spans="2:13" ht="12.75">
      <c r="B300" s="34" t="s">
        <v>1176</v>
      </c>
      <c r="C300" s="3">
        <v>5799</v>
      </c>
      <c r="D300" s="3">
        <v>10989</v>
      </c>
      <c r="E300" s="3">
        <v>15129</v>
      </c>
      <c r="G300" s="3">
        <f t="shared" si="76"/>
        <v>310</v>
      </c>
      <c r="H300" s="3">
        <f t="shared" si="76"/>
        <v>2190</v>
      </c>
      <c r="I300" s="3">
        <f t="shared" si="76"/>
        <v>2760</v>
      </c>
      <c r="K300" s="49">
        <f t="shared" si="77"/>
        <v>0.06276574205304718</v>
      </c>
      <c r="L300" s="49">
        <f t="shared" si="77"/>
        <v>0.233999358905866</v>
      </c>
      <c r="M300" s="49">
        <f t="shared" si="77"/>
        <v>0.2141360850337497</v>
      </c>
    </row>
    <row r="301" spans="7:13" ht="12.75">
      <c r="G301" s="3">
        <f t="shared" si="76"/>
        <v>-5200</v>
      </c>
      <c r="H301" s="3">
        <f t="shared" si="76"/>
        <v>2010</v>
      </c>
      <c r="I301" s="3">
        <f t="shared" si="76"/>
        <v>3270</v>
      </c>
      <c r="K301" s="49">
        <f t="shared" si="77"/>
        <v>-0.8967063286773581</v>
      </c>
      <c r="L301" s="49">
        <f t="shared" si="77"/>
        <v>0.1829101829101829</v>
      </c>
      <c r="M301" s="49">
        <f t="shared" si="77"/>
        <v>0.21614118580210193</v>
      </c>
    </row>
    <row r="302" spans="2:3" ht="12.75">
      <c r="B302" s="33" t="s">
        <v>1201</v>
      </c>
      <c r="C302" t="s">
        <v>1202</v>
      </c>
    </row>
    <row r="303" spans="2:5" ht="12.75">
      <c r="B303" s="34" t="s">
        <v>1174</v>
      </c>
      <c r="C303" s="3">
        <v>2399</v>
      </c>
      <c r="D303" s="3">
        <v>4649</v>
      </c>
      <c r="E303" s="3">
        <v>7049</v>
      </c>
    </row>
    <row r="304" spans="2:13" ht="12.75">
      <c r="B304" s="34" t="s">
        <v>1175</v>
      </c>
      <c r="C304" s="3">
        <v>2749</v>
      </c>
      <c r="D304" s="3">
        <v>5549</v>
      </c>
      <c r="E304" s="3">
        <v>8399</v>
      </c>
      <c r="G304" s="3">
        <f aca="true" t="shared" si="78" ref="G304:I306">C127-C303</f>
        <v>-130</v>
      </c>
      <c r="H304" s="3">
        <f t="shared" si="78"/>
        <v>1020</v>
      </c>
      <c r="I304" s="3">
        <f t="shared" si="78"/>
        <v>3010</v>
      </c>
      <c r="K304" s="49">
        <f aca="true" t="shared" si="79" ref="K304:M306">G304/C303</f>
        <v>-0.054189245518966235</v>
      </c>
      <c r="L304" s="49">
        <f t="shared" si="79"/>
        <v>0.2194020219402022</v>
      </c>
      <c r="M304" s="49">
        <f t="shared" si="79"/>
        <v>0.4270109235352532</v>
      </c>
    </row>
    <row r="305" spans="2:13" ht="12.75">
      <c r="B305" s="34" t="s">
        <v>1176</v>
      </c>
      <c r="C305" s="3">
        <v>3249</v>
      </c>
      <c r="D305" s="3">
        <v>6499</v>
      </c>
      <c r="E305" s="3">
        <v>9899</v>
      </c>
      <c r="G305" s="3">
        <f t="shared" si="78"/>
        <v>0</v>
      </c>
      <c r="H305" s="3">
        <f t="shared" si="78"/>
        <v>1010</v>
      </c>
      <c r="I305" s="3">
        <f t="shared" si="78"/>
        <v>3150</v>
      </c>
      <c r="K305" s="49">
        <f t="shared" si="79"/>
        <v>0</v>
      </c>
      <c r="L305" s="49">
        <f t="shared" si="79"/>
        <v>0.1820147774373761</v>
      </c>
      <c r="M305" s="49">
        <f t="shared" si="79"/>
        <v>0.37504464817240146</v>
      </c>
    </row>
    <row r="306" spans="7:13" ht="12.75">
      <c r="G306" s="3">
        <f t="shared" si="78"/>
        <v>-30</v>
      </c>
      <c r="H306" s="3">
        <f t="shared" si="78"/>
        <v>1250</v>
      </c>
      <c r="I306" s="3">
        <f t="shared" si="78"/>
        <v>3730</v>
      </c>
      <c r="K306" s="49">
        <f t="shared" si="79"/>
        <v>-0.009233610341643583</v>
      </c>
      <c r="L306" s="49">
        <f t="shared" si="79"/>
        <v>0.1923372826588706</v>
      </c>
      <c r="M306" s="49">
        <f t="shared" si="79"/>
        <v>0.3768057379533286</v>
      </c>
    </row>
    <row r="307" spans="2:3" ht="12.75">
      <c r="B307" s="33" t="s">
        <v>1203</v>
      </c>
      <c r="C307" t="s">
        <v>1204</v>
      </c>
    </row>
    <row r="308" spans="2:5" ht="12.75">
      <c r="B308" s="34" t="s">
        <v>1174</v>
      </c>
      <c r="C308" s="3">
        <v>1249</v>
      </c>
      <c r="D308" s="3">
        <v>3299</v>
      </c>
      <c r="E308" s="3">
        <v>5149</v>
      </c>
    </row>
    <row r="309" spans="2:13" ht="12.75">
      <c r="B309" s="34" t="s">
        <v>1175</v>
      </c>
      <c r="C309" s="3">
        <v>1549</v>
      </c>
      <c r="D309" s="3">
        <v>3808</v>
      </c>
      <c r="E309" s="3">
        <v>5929</v>
      </c>
      <c r="G309" s="3">
        <f aca="true" t="shared" si="80" ref="G309:I311">C132-C308</f>
        <v>160</v>
      </c>
      <c r="H309" s="3">
        <f t="shared" si="80"/>
        <v>570</v>
      </c>
      <c r="I309" s="3">
        <f t="shared" si="80"/>
        <v>1320</v>
      </c>
      <c r="K309" s="49">
        <f aca="true" t="shared" si="81" ref="K309:M311">G309/C308</f>
        <v>0.12810248198558846</v>
      </c>
      <c r="L309" s="49">
        <f t="shared" si="81"/>
        <v>0.17277963019096695</v>
      </c>
      <c r="M309" s="49">
        <f t="shared" si="81"/>
        <v>0.2563604583414255</v>
      </c>
    </row>
    <row r="310" spans="2:13" ht="12.75">
      <c r="B310" s="34" t="s">
        <v>1176</v>
      </c>
      <c r="C310" s="3">
        <v>1749</v>
      </c>
      <c r="D310" s="3">
        <v>4529</v>
      </c>
      <c r="E310" s="3">
        <v>6999</v>
      </c>
      <c r="G310" s="3">
        <f t="shared" si="80"/>
        <v>190</v>
      </c>
      <c r="H310" s="3">
        <f t="shared" si="80"/>
        <v>601</v>
      </c>
      <c r="I310" s="3">
        <f t="shared" si="80"/>
        <v>1530</v>
      </c>
      <c r="K310" s="49">
        <f t="shared" si="81"/>
        <v>0.12265978050355068</v>
      </c>
      <c r="L310" s="49">
        <f t="shared" si="81"/>
        <v>0.15782563025210083</v>
      </c>
      <c r="M310" s="49">
        <f t="shared" si="81"/>
        <v>0.2580536346770113</v>
      </c>
    </row>
    <row r="311" spans="7:13" ht="12.75">
      <c r="G311" s="3">
        <f t="shared" si="80"/>
        <v>210</v>
      </c>
      <c r="H311" s="3">
        <f t="shared" si="80"/>
        <v>660</v>
      </c>
      <c r="I311" s="3">
        <f t="shared" si="80"/>
        <v>1780</v>
      </c>
      <c r="K311" s="49">
        <f t="shared" si="81"/>
        <v>0.12006861063464837</v>
      </c>
      <c r="L311" s="49">
        <f t="shared" si="81"/>
        <v>0.14572753367189226</v>
      </c>
      <c r="M311" s="49">
        <f t="shared" si="81"/>
        <v>0.2543220460065724</v>
      </c>
    </row>
    <row r="312" spans="2:3" ht="12.75">
      <c r="B312" s="33" t="s">
        <v>1005</v>
      </c>
      <c r="C312" t="s">
        <v>999</v>
      </c>
    </row>
    <row r="313" spans="2:5" ht="12.75">
      <c r="B313" s="34" t="s">
        <v>1174</v>
      </c>
      <c r="C313">
        <v>9170</v>
      </c>
      <c r="D313">
        <v>16600</v>
      </c>
      <c r="E313">
        <v>24520</v>
      </c>
    </row>
    <row r="314" spans="2:13" ht="12.75">
      <c r="B314" s="34" t="s">
        <v>1175</v>
      </c>
      <c r="C314">
        <v>10540</v>
      </c>
      <c r="D314">
        <v>19090</v>
      </c>
      <c r="E314">
        <v>28200</v>
      </c>
      <c r="G314" s="3">
        <f aca="true" t="shared" si="82" ref="G314:I316">C137-C313</f>
        <v>-359</v>
      </c>
      <c r="H314" s="3">
        <f t="shared" si="82"/>
        <v>5410</v>
      </c>
      <c r="I314" s="3">
        <f t="shared" si="82"/>
        <v>16940</v>
      </c>
      <c r="K314" s="49">
        <f aca="true" t="shared" si="83" ref="K314:M316">G314/C313</f>
        <v>-0.03914940021810251</v>
      </c>
      <c r="L314" s="49">
        <f t="shared" si="83"/>
        <v>0.32590361445783134</v>
      </c>
      <c r="M314" s="49">
        <f t="shared" si="83"/>
        <v>0.6908646003262643</v>
      </c>
    </row>
    <row r="315" spans="2:13" ht="12.75">
      <c r="B315" s="34" t="s">
        <v>1176</v>
      </c>
      <c r="C315">
        <v>12370</v>
      </c>
      <c r="D315">
        <v>22410</v>
      </c>
      <c r="E315">
        <v>33110</v>
      </c>
      <c r="G315" s="3">
        <f t="shared" si="82"/>
        <v>107</v>
      </c>
      <c r="H315" s="3">
        <f t="shared" si="82"/>
        <v>6380</v>
      </c>
      <c r="I315" s="3">
        <f t="shared" si="82"/>
        <v>19400</v>
      </c>
      <c r="K315" s="49">
        <f t="shared" si="83"/>
        <v>0.010151802656546489</v>
      </c>
      <c r="L315" s="49">
        <f t="shared" si="83"/>
        <v>0.33420639078051334</v>
      </c>
      <c r="M315" s="49">
        <f t="shared" si="83"/>
        <v>0.6879432624113475</v>
      </c>
    </row>
    <row r="316" spans="7:13" ht="12.75">
      <c r="G316" s="3">
        <f t="shared" si="82"/>
        <v>104</v>
      </c>
      <c r="H316" s="3">
        <f t="shared" si="82"/>
        <v>7610</v>
      </c>
      <c r="I316" s="3">
        <f t="shared" si="82"/>
        <v>23060</v>
      </c>
      <c r="K316" s="49">
        <f t="shared" si="83"/>
        <v>0.008407437348423606</v>
      </c>
      <c r="L316" s="49">
        <f t="shared" si="83"/>
        <v>0.3395805443998215</v>
      </c>
      <c r="M316" s="49">
        <f t="shared" si="83"/>
        <v>0.6964663243733011</v>
      </c>
    </row>
    <row r="317" spans="2:3" ht="12.75">
      <c r="B317" s="33" t="s">
        <v>1233</v>
      </c>
      <c r="C317" t="s">
        <v>1183</v>
      </c>
    </row>
    <row r="318" spans="2:5" ht="12.75">
      <c r="B318" s="34" t="s">
        <v>1174</v>
      </c>
      <c r="C318">
        <v>2680</v>
      </c>
      <c r="D318">
        <v>6830</v>
      </c>
      <c r="E318">
        <v>9220</v>
      </c>
    </row>
    <row r="319" spans="2:13" ht="12.75">
      <c r="B319" s="34" t="s">
        <v>1175</v>
      </c>
      <c r="C319">
        <v>3080</v>
      </c>
      <c r="D319">
        <v>7850</v>
      </c>
      <c r="E319">
        <v>9840</v>
      </c>
      <c r="G319" s="3">
        <f aca="true" t="shared" si="84" ref="G319:I321">C142-C318</f>
        <v>61</v>
      </c>
      <c r="H319" s="3">
        <f t="shared" si="84"/>
        <v>947</v>
      </c>
      <c r="I319" s="3">
        <f t="shared" si="84"/>
        <v>1373</v>
      </c>
      <c r="K319" s="49">
        <f aca="true" t="shared" si="85" ref="K319:M321">G319/C318</f>
        <v>0.022761194029850745</v>
      </c>
      <c r="L319" s="49">
        <f t="shared" si="85"/>
        <v>0.13865300146412884</v>
      </c>
      <c r="M319" s="49">
        <f t="shared" si="85"/>
        <v>0.14891540130151845</v>
      </c>
    </row>
    <row r="320" spans="2:13" ht="12.75">
      <c r="B320" s="34" t="s">
        <v>1176</v>
      </c>
      <c r="C320">
        <v>3610</v>
      </c>
      <c r="D320">
        <v>8550</v>
      </c>
      <c r="E320">
        <v>11540</v>
      </c>
      <c r="G320" s="3">
        <f t="shared" si="84"/>
        <v>39</v>
      </c>
      <c r="H320" s="3">
        <f t="shared" si="84"/>
        <v>1060</v>
      </c>
      <c r="I320" s="3">
        <f t="shared" si="84"/>
        <v>2305</v>
      </c>
      <c r="K320" s="49">
        <f t="shared" si="85"/>
        <v>0.012662337662337663</v>
      </c>
      <c r="L320" s="49">
        <f t="shared" si="85"/>
        <v>0.13503184713375796</v>
      </c>
      <c r="M320" s="49">
        <f t="shared" si="85"/>
        <v>0.2342479674796748</v>
      </c>
    </row>
    <row r="321" spans="7:13" ht="12.75">
      <c r="G321" s="3">
        <f t="shared" si="84"/>
        <v>76</v>
      </c>
      <c r="H321" s="3">
        <f t="shared" si="84"/>
        <v>1905</v>
      </c>
      <c r="I321" s="3">
        <f t="shared" si="84"/>
        <v>2745</v>
      </c>
      <c r="K321" s="49">
        <f t="shared" si="85"/>
        <v>0.021052631578947368</v>
      </c>
      <c r="L321" s="49">
        <f t="shared" si="85"/>
        <v>0.22280701754385965</v>
      </c>
      <c r="M321" s="49">
        <f t="shared" si="85"/>
        <v>0.2378682842287695</v>
      </c>
    </row>
  </sheetData>
  <printOptions/>
  <pageMargins left="0.75" right="0.75" top="1" bottom="1" header="0.5" footer="0.5"/>
  <pageSetup horizontalDpi="600" verticalDpi="600" orientation="portrait"/>
  <legacyDrawing r:id="rId2"/>
</worksheet>
</file>

<file path=xl/worksheets/sheet8.xml><?xml version="1.0" encoding="utf-8"?>
<worksheet xmlns="http://schemas.openxmlformats.org/spreadsheetml/2006/main" xmlns:r="http://schemas.openxmlformats.org/officeDocument/2006/relationships">
  <sheetPr codeName="Sheet8"/>
  <dimension ref="A1:BE111"/>
  <sheetViews>
    <sheetView workbookViewId="0" topLeftCell="A1">
      <selection activeCell="A1" sqref="A1"/>
    </sheetView>
  </sheetViews>
  <sheetFormatPr defaultColWidth="9.140625" defaultRowHeight="12.75" zeroHeight="1"/>
  <cols>
    <col min="1" max="1" width="8.8515625" style="0" customWidth="1"/>
    <col min="2" max="2" width="22.140625" style="0" bestFit="1" customWidth="1"/>
    <col min="3" max="3" width="10.28125" style="0" customWidth="1"/>
    <col min="4" max="12" width="8.8515625" style="0" customWidth="1"/>
    <col min="13" max="16384" width="9.140625" style="0" hidden="1" customWidth="1"/>
  </cols>
  <sheetData>
    <row r="1" spans="1:12" ht="27" customHeight="1">
      <c r="A1" s="26"/>
      <c r="B1" s="30" t="s">
        <v>1218</v>
      </c>
      <c r="C1" s="25"/>
      <c r="D1" s="29"/>
      <c r="E1" s="29"/>
      <c r="F1" s="42"/>
      <c r="G1" s="42"/>
      <c r="H1" s="42"/>
      <c r="I1" s="42"/>
      <c r="J1" s="42"/>
      <c r="K1" s="42"/>
      <c r="L1" s="42"/>
    </row>
    <row r="2" spans="1:49" ht="12.75">
      <c r="A2" s="26"/>
      <c r="B2" s="24" t="s">
        <v>1370</v>
      </c>
      <c r="C2" s="50" t="s">
        <v>1251</v>
      </c>
      <c r="D2" s="46" t="str">
        <f>'Star Alliance'!E2</f>
        <v>exchange rates updated 02-May-2008</v>
      </c>
      <c r="E2" s="26"/>
      <c r="F2" s="26"/>
      <c r="G2" s="26"/>
      <c r="H2" s="26"/>
      <c r="I2" s="26"/>
      <c r="J2" s="26"/>
      <c r="K2" s="26"/>
      <c r="L2" s="26"/>
      <c r="AQ2" t="s">
        <v>1251</v>
      </c>
      <c r="AR2" t="s">
        <v>1374</v>
      </c>
      <c r="AS2" t="s">
        <v>1367</v>
      </c>
      <c r="AT2" t="str">
        <f>VLOOKUP(class,AR2:AS4,2,FALSE)&amp;continents</f>
        <v>A4</v>
      </c>
      <c r="AW2">
        <v>29000</v>
      </c>
    </row>
    <row r="3" spans="1:49" ht="12.75">
      <c r="A3" s="26"/>
      <c r="B3" s="24" t="s">
        <v>1372</v>
      </c>
      <c r="C3" s="50" t="s">
        <v>1374</v>
      </c>
      <c r="D3" s="26"/>
      <c r="E3" s="26"/>
      <c r="F3" s="26"/>
      <c r="G3" s="26"/>
      <c r="H3" s="26"/>
      <c r="I3" s="26"/>
      <c r="J3" s="26"/>
      <c r="K3" s="26"/>
      <c r="L3" s="26"/>
      <c r="AQ3" t="s">
        <v>1308</v>
      </c>
      <c r="AR3" t="s">
        <v>1375</v>
      </c>
      <c r="AS3" t="s">
        <v>1368</v>
      </c>
      <c r="AT3" t="str">
        <f>VLOOKUP(STcl,AR2:AS7,2,FALSE)&amp;STOpt</f>
        <v>A34000</v>
      </c>
      <c r="AW3">
        <v>34000</v>
      </c>
    </row>
    <row r="4" spans="1:49" ht="12.75">
      <c r="A4" s="26"/>
      <c r="B4" s="24" t="s">
        <v>1206</v>
      </c>
      <c r="C4" s="50">
        <v>34000</v>
      </c>
      <c r="D4" s="26"/>
      <c r="E4" s="26"/>
      <c r="F4" s="26"/>
      <c r="G4" s="26"/>
      <c r="H4" s="26"/>
      <c r="I4" s="26"/>
      <c r="J4" s="26"/>
      <c r="K4" s="26"/>
      <c r="L4" s="26"/>
      <c r="AQ4" t="s">
        <v>1330</v>
      </c>
      <c r="AR4" t="s">
        <v>1376</v>
      </c>
      <c r="AS4" t="s">
        <v>1369</v>
      </c>
      <c r="AW4">
        <v>39000</v>
      </c>
    </row>
    <row r="5" spans="1:12" ht="12.75">
      <c r="A5" s="26"/>
      <c r="B5" s="24" t="s">
        <v>1377</v>
      </c>
      <c r="C5" s="50" t="s">
        <v>1203</v>
      </c>
      <c r="D5" s="5">
        <f>VLOOKUP(VLOOKUP(C5,B11:AU104,46,FALSE),STData!$O$10:$P$103,2,FALSE)</f>
        <v>18555.68105</v>
      </c>
      <c r="E5" s="6" t="str">
        <f>STfx</f>
        <v>USD</v>
      </c>
      <c r="F5" s="26"/>
      <c r="G5" s="26"/>
      <c r="H5" s="26"/>
      <c r="I5" s="26"/>
      <c r="J5" s="26"/>
      <c r="K5" s="26"/>
      <c r="L5" s="26"/>
    </row>
    <row r="6" spans="1:43" ht="12.75">
      <c r="A6" s="26"/>
      <c r="B6" s="26"/>
      <c r="C6" s="26"/>
      <c r="D6" s="26"/>
      <c r="E6" s="26"/>
      <c r="F6" s="26"/>
      <c r="G6" s="26"/>
      <c r="H6" s="26"/>
      <c r="I6" s="26"/>
      <c r="J6" s="26"/>
      <c r="K6" s="26"/>
      <c r="L6" s="26"/>
      <c r="AQ6" t="s">
        <v>1351</v>
      </c>
    </row>
    <row r="7" spans="1:43" ht="12.75">
      <c r="A7" s="26"/>
      <c r="B7" s="24" t="s">
        <v>1032</v>
      </c>
      <c r="C7" s="5">
        <f>MAX(STData!P10:P103)-MIN(STData!P10:P103)</f>
        <v>29846.367690357343</v>
      </c>
      <c r="D7" s="35">
        <f>MAX(STData!P10:P103)/MIN(STData!P10:P103)-1</f>
        <v>5.89671082192859</v>
      </c>
      <c r="E7" s="26"/>
      <c r="F7" s="26"/>
      <c r="G7" s="26"/>
      <c r="H7" s="26"/>
      <c r="I7" s="26"/>
      <c r="J7" s="26"/>
      <c r="K7" s="26"/>
      <c r="L7" s="26"/>
      <c r="AQ7" t="s">
        <v>1353</v>
      </c>
    </row>
    <row r="8" spans="1:57" ht="12.75">
      <c r="A8" s="26"/>
      <c r="B8" s="24" t="str">
        <f>"Difference to "&amp;C5</f>
        <v>Difference to Great Britain</v>
      </c>
      <c r="C8" s="5">
        <f>D5-MIN(STData!P10:P103)</f>
        <v>13494.152921578783</v>
      </c>
      <c r="D8" s="35">
        <f>D5/MIN(STData!P10:P103)-1</f>
        <v>2.6660234970951073</v>
      </c>
      <c r="E8" s="26"/>
      <c r="F8" s="26"/>
      <c r="G8" s="26"/>
      <c r="H8" s="26"/>
      <c r="I8" s="26"/>
      <c r="J8" s="26"/>
      <c r="K8" s="26"/>
      <c r="L8" s="26"/>
      <c r="AQ8" t="s">
        <v>1340</v>
      </c>
      <c r="AW8" t="s">
        <v>575</v>
      </c>
      <c r="AX8" t="s">
        <v>578</v>
      </c>
      <c r="AY8" t="s">
        <v>581</v>
      </c>
      <c r="AZ8" t="s">
        <v>576</v>
      </c>
      <c r="BA8" t="s">
        <v>579</v>
      </c>
      <c r="BB8" t="s">
        <v>582</v>
      </c>
      <c r="BC8" t="s">
        <v>577</v>
      </c>
      <c r="BD8" t="s">
        <v>580</v>
      </c>
      <c r="BE8" t="s">
        <v>583</v>
      </c>
    </row>
    <row r="9" spans="1:43" ht="12.75">
      <c r="A9" s="26"/>
      <c r="B9" s="26"/>
      <c r="C9" s="27"/>
      <c r="D9" s="36"/>
      <c r="E9" s="26"/>
      <c r="F9" s="26"/>
      <c r="G9" s="26"/>
      <c r="H9" s="26"/>
      <c r="I9" s="26"/>
      <c r="J9" s="26"/>
      <c r="K9" s="26"/>
      <c r="L9" s="26"/>
      <c r="AQ9" t="s">
        <v>1356</v>
      </c>
    </row>
    <row r="10" spans="1:49" ht="12.75">
      <c r="A10" s="26"/>
      <c r="B10" s="21"/>
      <c r="C10" s="15" t="s">
        <v>1374</v>
      </c>
      <c r="D10" s="16"/>
      <c r="E10" s="17"/>
      <c r="F10" s="15" t="s">
        <v>1375</v>
      </c>
      <c r="G10" s="16"/>
      <c r="H10" s="17"/>
      <c r="I10" s="15" t="s">
        <v>1376</v>
      </c>
      <c r="J10" s="16"/>
      <c r="K10" s="17"/>
      <c r="L10" s="26"/>
      <c r="AW10" t="s">
        <v>1325</v>
      </c>
    </row>
    <row r="11" spans="1:50" ht="12.75">
      <c r="A11" s="26"/>
      <c r="B11" s="22"/>
      <c r="C11" s="38">
        <v>29000</v>
      </c>
      <c r="D11" s="39">
        <v>34000</v>
      </c>
      <c r="E11" s="40">
        <v>39000</v>
      </c>
      <c r="F11" s="38">
        <v>29000</v>
      </c>
      <c r="G11" s="39">
        <v>34000</v>
      </c>
      <c r="H11" s="40">
        <v>39000</v>
      </c>
      <c r="I11" s="38">
        <v>29000</v>
      </c>
      <c r="J11" s="39">
        <v>34000</v>
      </c>
      <c r="K11" s="40">
        <v>39000</v>
      </c>
      <c r="L11" s="26"/>
      <c r="AT11">
        <f>MAX(STData!O10:O134)</f>
        <v>94</v>
      </c>
      <c r="AU11">
        <f>IF(ISNUMBER(VLOOKUP($AT11,STData!$O$10:$P$103,2,FALSE)),AT11,AU12)</f>
        <v>94</v>
      </c>
      <c r="AW11" t="s">
        <v>1269</v>
      </c>
      <c r="AX11">
        <v>3</v>
      </c>
    </row>
    <row r="12" spans="1:50" ht="12.75">
      <c r="A12" s="64" t="str">
        <f>VLOOKUP(AT11,STData!$O$10:$AA$103,13,FALSE)</f>
        <v>old</v>
      </c>
      <c r="B12" s="13" t="str">
        <f>VLOOKUP($AT11,STData!$O$10:$Z$103,3,FALSE)</f>
        <v>Malta</v>
      </c>
      <c r="C12" s="7">
        <f>VLOOKUP($AT11,STData!$O$10:$Z$103,MATCH(AW$8,STData!$R$7:$Z$7,0)+3,FALSE)</f>
        <v>4400.461088446103</v>
      </c>
      <c r="D12" s="8">
        <f>VLOOKUP($AT11,STData!$O$10:$Z$103,MATCH(AX$8,STData!$R$7:$Z$7,0)+3,FALSE)</f>
        <v>5061.528128421216</v>
      </c>
      <c r="E12" s="9">
        <f>VLOOKUP($AT11,STData!$O$10:$Z$103,MATCH(AY$8,STData!$R$7:$Z$7,0)+3,FALSE)</f>
        <v>5941.91388048219</v>
      </c>
      <c r="F12" s="7">
        <f>VLOOKUP($AT11,STData!$O$10:$Z$103,MATCH(AZ$8,STData!$R$7:$Z$7,0)+3,FALSE)</f>
        <v>2922.781822619381</v>
      </c>
      <c r="G12" s="8">
        <f>VLOOKUP($AT11,STData!$O$10:$Z$103,MATCH(BA$8,STData!$R$7:$Z$7,0)+3,FALSE)</f>
        <v>3361.4192467911025</v>
      </c>
      <c r="H12" s="9">
        <f>VLOOKUP($AT11,STData!$O$10:$Z$103,MATCH(BB$8,STData!$R$7:$Z$7,0)+3,FALSE)</f>
        <v>3946.269145686732</v>
      </c>
      <c r="I12" s="7">
        <f>VLOOKUP($AT11,STData!$O$10:$Z$103,MATCH(BC$8,STData!$R$7:$Z$7,0)+3,FALSE)</f>
        <v>1460.6570753803078</v>
      </c>
      <c r="J12" s="8">
        <f>VLOOKUP($AT11,STData!$O$10:$Z$103,MATCH(BD$8,STData!$R$7:$Z$7,0)+3,FALSE)</f>
        <v>1678.4203356074038</v>
      </c>
      <c r="K12" s="9">
        <f>VLOOKUP($AT11,STData!$O$10:$Z$103,MATCH(BE$8,STData!$R$7:$Z$7,0)+3,FALSE)</f>
        <v>1970.8452850552185</v>
      </c>
      <c r="L12" s="26"/>
      <c r="AT12">
        <f>AT11-1</f>
        <v>93</v>
      </c>
      <c r="AU12">
        <f>IF(ISNUMBER(VLOOKUP($AT12,STData!$O$10:$P$103,2,FALSE)),AT12,AU13)</f>
        <v>93</v>
      </c>
      <c r="AW12" t="s">
        <v>1314</v>
      </c>
      <c r="AX12">
        <v>4</v>
      </c>
    </row>
    <row r="13" spans="1:52" ht="12.75">
      <c r="A13" s="64" t="str">
        <f>VLOOKUP(AT12,STData!$O$10:$AA$103,13,FALSE)</f>
        <v>old</v>
      </c>
      <c r="B13" s="13" t="str">
        <f>VLOOKUP($AT12,STData!$O$10:$Z$103,3,FALSE)</f>
        <v>Pakistan</v>
      </c>
      <c r="C13" s="7">
        <f>VLOOKUP($AT12,STData!$O$10:$Z$103,MATCH(AW$8,STData!$R$7:$Z$7,0)+3,FALSE)</f>
        <v>5166.860873183729</v>
      </c>
      <c r="D13" s="8">
        <f>VLOOKUP($AT12,STData!$O$10:$Z$103,MATCH(AX$8,STData!$R$7:$Z$7,0)+3,FALSE)</f>
        <v>5955.5578671276635</v>
      </c>
      <c r="E13" s="9">
        <f>VLOOKUP($AT12,STData!$O$10:$Z$103,MATCH(AY$8,STData!$R$7:$Z$7,0)+3,FALSE)</f>
        <v>6985.692716360556</v>
      </c>
      <c r="F13" s="7">
        <f>VLOOKUP($AT12,STData!$O$10:$Z$103,MATCH(AZ$8,STData!$R$7:$Z$7,0)+3,FALSE)</f>
        <v>3847.000597604085</v>
      </c>
      <c r="G13" s="8">
        <f>VLOOKUP($AT12,STData!$O$10:$Z$103,MATCH(BA$8,STData!$R$7:$Z$7,0)+3,FALSE)</f>
        <v>4410.355593278324</v>
      </c>
      <c r="H13" s="9">
        <f>VLOOKUP($AT12,STData!$O$10:$Z$103,MATCH(BB$8,STData!$R$7:$Z$7,0)+3,FALSE)</f>
        <v>5199.052587222257</v>
      </c>
      <c r="I13" s="7">
        <f>VLOOKUP($AT12,STData!$O$10:$Z$103,MATCH(BC$8,STData!$R$7:$Z$7,0)+3,FALSE)</f>
        <v>2221.3190386584256</v>
      </c>
      <c r="J13" s="8">
        <f>VLOOKUP($AT12,STData!$O$10:$Z$103,MATCH(BD$8,STData!$R$7:$Z$7,0)+3,FALSE)</f>
        <v>2559.3320360629687</v>
      </c>
      <c r="K13" s="9">
        <f>VLOOKUP($AT12,STData!$O$10:$Z$103,MATCH(BE$8,STData!$R$7:$Z$7,0)+3,FALSE)</f>
        <v>3010.0160326023592</v>
      </c>
      <c r="L13" s="26"/>
      <c r="AT13">
        <f aca="true" t="shared" si="0" ref="AT13:AT76">AT12-1</f>
        <v>92</v>
      </c>
      <c r="AU13">
        <f>IF(ISNUMBER(VLOOKUP($AT13,STData!$O$10:$P$103,2,FALSE)),AT13,AU14)</f>
        <v>92</v>
      </c>
      <c r="AW13" t="s">
        <v>1315</v>
      </c>
      <c r="AX13">
        <v>5</v>
      </c>
      <c r="AZ13" t="s">
        <v>1233</v>
      </c>
    </row>
    <row r="14" spans="1:52" ht="12.75">
      <c r="A14" s="64" t="str">
        <f>VLOOKUP(AT13,STData!$O$10:$AA$103,13,FALSE)</f>
        <v>old</v>
      </c>
      <c r="B14" s="13" t="str">
        <f>VLOOKUP($AT13,STData!$O$10:$Z$103,3,FALSE)</f>
        <v>Seychelles</v>
      </c>
      <c r="C14" s="7">
        <f>VLOOKUP($AT13,STData!$O$10:$Z$103,MATCH(AW$8,STData!$R$7:$Z$7,0)+3,FALSE)</f>
        <v>5679.117380527061</v>
      </c>
      <c r="D14" s="8">
        <f>VLOOKUP($AT13,STData!$O$10:$Z$103,MATCH(AX$8,STData!$R$7:$Z$7,0)+3,FALSE)</f>
        <v>6534.054771162338</v>
      </c>
      <c r="E14" s="9">
        <f>VLOOKUP($AT13,STData!$O$10:$Z$103,MATCH(AY$8,STData!$R$7:$Z$7,0)+3,FALSE)</f>
        <v>7671.447888475782</v>
      </c>
      <c r="F14" s="7">
        <f>VLOOKUP($AT13,STData!$O$10:$Z$103,MATCH(AZ$8,STData!$R$7:$Z$7,0)+3,FALSE)</f>
        <v>4534.029950799712</v>
      </c>
      <c r="G14" s="8">
        <f>VLOOKUP($AT13,STData!$O$10:$Z$103,MATCH(BA$8,STData!$R$7:$Z$7,0)+3,FALSE)</f>
        <v>5224.160133601683</v>
      </c>
      <c r="H14" s="9">
        <f>VLOOKUP($AT13,STData!$O$10:$Z$103,MATCH(BB$8,STData!$R$7:$Z$7,0)+3,FALSE)</f>
        <v>6126.256213225406</v>
      </c>
      <c r="I14" s="7">
        <f>VLOOKUP($AT13,STData!$O$10:$Z$103,MATCH(BC$8,STData!$R$7:$Z$7,0)+3,FALSE)</f>
        <v>2509.4329714378437</v>
      </c>
      <c r="J14" s="8">
        <f>VLOOKUP($AT13,STData!$O$10:$Z$103,MATCH(BD$8,STData!$R$7:$Z$7,0)+3,FALSE)</f>
        <v>2854.5601137453928</v>
      </c>
      <c r="K14" s="9">
        <f>VLOOKUP($AT13,STData!$O$10:$Z$103,MATCH(BE$8,STData!$R$7:$Z$7,0)+3,FALSE)</f>
        <v>3372.1887763001523</v>
      </c>
      <c r="L14" s="26"/>
      <c r="AT14">
        <f t="shared" si="0"/>
        <v>91</v>
      </c>
      <c r="AU14">
        <f>IF(ISNUMBER(VLOOKUP($AT14,STData!$O$10:$P$103,2,FALSE)),AT14,AU15)</f>
        <v>91</v>
      </c>
      <c r="AW14" t="s">
        <v>1583</v>
      </c>
      <c r="AX14">
        <v>6</v>
      </c>
      <c r="AZ14" t="s">
        <v>1405</v>
      </c>
    </row>
    <row r="15" spans="1:52" ht="12.75">
      <c r="A15" s="64">
        <f>VLOOKUP(AT14,STData!$O$10:$AA$103,13,FALSE)</f>
        <v>39563</v>
      </c>
      <c r="B15" s="13" t="str">
        <f>VLOOKUP($AT14,STData!$O$10:$Z$103,3,FALSE)</f>
        <v>South Africa</v>
      </c>
      <c r="C15" s="7">
        <f>VLOOKUP($AT14,STData!$O$10:$Z$103,MATCH(AW$8,STData!$R$7:$Z$7,0)+3,FALSE)</f>
        <v>6001.597622367522</v>
      </c>
      <c r="D15" s="8">
        <f>VLOOKUP($AT14,STData!$O$10:$Z$103,MATCH(AX$8,STData!$R$7:$Z$7,0)+3,FALSE)</f>
        <v>6903.009042881221</v>
      </c>
      <c r="E15" s="9">
        <f>VLOOKUP($AT14,STData!$O$10:$Z$103,MATCH(AY$8,STData!$R$7:$Z$7,0)+3,FALSE)</f>
        <v>8102.255230991552</v>
      </c>
      <c r="F15" s="7">
        <f>VLOOKUP($AT14,STData!$O$10:$Z$103,MATCH(AZ$8,STData!$R$7:$Z$7,0)+3,FALSE)</f>
        <v>4275.210252670233</v>
      </c>
      <c r="G15" s="8">
        <f>VLOOKUP($AT14,STData!$O$10:$Z$103,MATCH(BA$8,STData!$R$7:$Z$7,0)+3,FALSE)</f>
        <v>4917.004641252355</v>
      </c>
      <c r="H15" s="9">
        <f>VLOOKUP($AT14,STData!$O$10:$Z$103,MATCH(BB$8,STData!$R$7:$Z$7,0)+3,FALSE)</f>
        <v>5772.291208377195</v>
      </c>
      <c r="I15" s="7">
        <f>VLOOKUP($AT14,STData!$O$10:$Z$103,MATCH(BC$8,STData!$R$7:$Z$7,0)+3,FALSE)</f>
        <v>2279.980880363596</v>
      </c>
      <c r="J15" s="8">
        <f>VLOOKUP($AT14,STData!$O$10:$Z$103,MATCH(BD$8,STData!$R$7:$Z$7,0)+3,FALSE)</f>
        <v>0.09527000000000001</v>
      </c>
      <c r="K15" s="9">
        <f>VLOOKUP($AT14,STData!$O$10:$Z$103,MATCH(BE$8,STData!$R$7:$Z$7,0)+3,FALSE)</f>
        <v>0.09527000000000001</v>
      </c>
      <c r="L15" s="26"/>
      <c r="AT15">
        <f t="shared" si="0"/>
        <v>90</v>
      </c>
      <c r="AU15">
        <f>IF(ISNUMBER(VLOOKUP($AT15,STData!$O$10:$P$103,2,FALSE)),AT15,AU16)</f>
        <v>90</v>
      </c>
      <c r="AW15" t="s">
        <v>1316</v>
      </c>
      <c r="AZ15" t="s">
        <v>1028</v>
      </c>
    </row>
    <row r="16" spans="1:52" ht="12.75">
      <c r="A16" s="64" t="str">
        <f>VLOOKUP(AT15,STData!$O$10:$AA$103,13,FALSE)</f>
        <v>old</v>
      </c>
      <c r="B16" s="13" t="str">
        <f>VLOOKUP($AT15,STData!$O$10:$Z$103,3,FALSE)</f>
        <v>Syria</v>
      </c>
      <c r="C16" s="7">
        <f>VLOOKUP($AT15,STData!$O$10:$Z$103,MATCH(AW$8,STData!$R$7:$Z$7,0)+3,FALSE)</f>
        <v>6220.839789073464</v>
      </c>
      <c r="D16" s="8">
        <f>VLOOKUP($AT15,STData!$O$10:$Z$103,MATCH(AX$8,STData!$R$7:$Z$7,0)+3,FALSE)</f>
        <v>7155.1119079175205</v>
      </c>
      <c r="E16" s="9">
        <f>VLOOKUP($AT15,STData!$O$10:$Z$103,MATCH(AY$8,STData!$R$7:$Z$7,0)+3,FALSE)</f>
        <v>8398.873755571201</v>
      </c>
      <c r="F16" s="7">
        <f>VLOOKUP($AT15,STData!$O$10:$Z$103,MATCH(AZ$8,STData!$R$7:$Z$7,0)+3,FALSE)</f>
        <v>4441.27384841812</v>
      </c>
      <c r="G16" s="8">
        <f>VLOOKUP($AT15,STData!$O$10:$Z$103,MATCH(BA$8,STData!$R$7:$Z$7,0)+3,FALSE)</f>
        <v>5108.611076163875</v>
      </c>
      <c r="H16" s="9">
        <f>VLOOKUP($AT15,STData!$O$10:$Z$103,MATCH(BB$8,STData!$R$7:$Z$7,0)+3,FALSE)</f>
        <v>5996.459735686486</v>
      </c>
      <c r="I16" s="7">
        <f>VLOOKUP($AT15,STData!$O$10:$Z$103,MATCH(BC$8,STData!$R$7:$Z$7,0)+3,FALSE)</f>
        <v>2276.7800575558044</v>
      </c>
      <c r="J16" s="8">
        <f>VLOOKUP($AT15,STData!$O$10:$Z$103,MATCH(BD$8,STData!$R$7:$Z$7,0)+3,FALSE)</f>
        <v>2617.218759246392</v>
      </c>
      <c r="K16" s="9">
        <f>VLOOKUP($AT15,STData!$O$10:$Z$103,MATCH(BE$8,STData!$R$7:$Z$7,0)+3,FALSE)</f>
        <v>3071.7817984355293</v>
      </c>
      <c r="L16" s="26"/>
      <c r="AT16">
        <f t="shared" si="0"/>
        <v>89</v>
      </c>
      <c r="AU16">
        <f>IF(ISNUMBER(VLOOKUP($AT16,STData!$O$10:$P$103,2,FALSE)),AT16,AU17)</f>
        <v>89</v>
      </c>
      <c r="AW16" t="s">
        <v>1317</v>
      </c>
      <c r="AZ16" t="s">
        <v>1406</v>
      </c>
    </row>
    <row r="17" spans="1:52" ht="12.75">
      <c r="A17" s="64">
        <f>VLOOKUP(AT16,STData!$O$10:$AA$103,13,FALSE)</f>
        <v>39563</v>
      </c>
      <c r="B17" s="13" t="str">
        <f>VLOOKUP($AT16,STData!$O$10:$Z$103,3,FALSE)</f>
        <v>Vietnam</v>
      </c>
      <c r="C17" s="7">
        <f>VLOOKUP($AT16,STData!$O$10:$Z$103,MATCH(AW$8,STData!$R$7:$Z$7,0)+3,FALSE)</f>
        <v>6389.0975100000005</v>
      </c>
      <c r="D17" s="8">
        <f>VLOOKUP($AT16,STData!$O$10:$Z$103,MATCH(AX$8,STData!$R$7:$Z$7,0)+3,FALSE)</f>
        <v>7349.0975100000005</v>
      </c>
      <c r="E17" s="9">
        <f>VLOOKUP($AT16,STData!$O$10:$Z$103,MATCH(AY$8,STData!$R$7:$Z$7,0)+3,FALSE)</f>
        <v>8629.09751</v>
      </c>
      <c r="F17" s="7">
        <f>VLOOKUP($AT16,STData!$O$10:$Z$103,MATCH(AZ$8,STData!$R$7:$Z$7,0)+3,FALSE)</f>
        <v>4739.0975100000005</v>
      </c>
      <c r="G17" s="8">
        <f>VLOOKUP($AT16,STData!$O$10:$Z$103,MATCH(BA$8,STData!$R$7:$Z$7,0)+3,FALSE)</f>
        <v>5449.0975100000005</v>
      </c>
      <c r="H17" s="9">
        <f>VLOOKUP($AT16,STData!$O$10:$Z$103,MATCH(BB$8,STData!$R$7:$Z$7,0)+3,FALSE)</f>
        <v>6399.0975100000005</v>
      </c>
      <c r="I17" s="7">
        <f>VLOOKUP($AT16,STData!$O$10:$Z$103,MATCH(BC$8,STData!$R$7:$Z$7,0)+3,FALSE)</f>
        <v>2749.0975099999996</v>
      </c>
      <c r="J17" s="8">
        <f>VLOOKUP($AT16,STData!$O$10:$Z$103,MATCH(BD$8,STData!$R$7:$Z$7,0)+3,FALSE)</f>
        <v>3159.0975099999996</v>
      </c>
      <c r="K17" s="9">
        <f>VLOOKUP($AT16,STData!$O$10:$Z$103,MATCH(BE$8,STData!$R$7:$Z$7,0)+3,FALSE)</f>
        <v>3709.0975099999996</v>
      </c>
      <c r="L17" s="26"/>
      <c r="AT17">
        <f t="shared" si="0"/>
        <v>88</v>
      </c>
      <c r="AU17">
        <f>IF(ISNUMBER(VLOOKUP($AT17,STData!$O$10:$P$103,2,FALSE)),AT17,AU18)</f>
        <v>88</v>
      </c>
      <c r="AW17" t="s">
        <v>1342</v>
      </c>
      <c r="AZ17" t="s">
        <v>1407</v>
      </c>
    </row>
    <row r="18" spans="1:52" ht="12.75">
      <c r="A18" s="64" t="str">
        <f>VLOOKUP(AT17,STData!$O$10:$AA$103,13,FALSE)</f>
        <v>old</v>
      </c>
      <c r="B18" s="13" t="str">
        <f>VLOOKUP($AT17,STData!$O$10:$Z$103,3,FALSE)</f>
        <v>Samoa</v>
      </c>
      <c r="C18" s="7">
        <f>VLOOKUP($AT17,STData!$O$10:$Z$103,MATCH(AW$8,STData!$R$7:$Z$7,0)+3,FALSE)</f>
        <v>6775.743370029828</v>
      </c>
      <c r="D18" s="8">
        <f>VLOOKUP($AT17,STData!$O$10:$Z$103,MATCH(AX$8,STData!$R$7:$Z$7,0)+3,FALSE)</f>
        <v>7792.306679551769</v>
      </c>
      <c r="E18" s="9">
        <f>VLOOKUP($AT17,STData!$O$10:$Z$103,MATCH(AY$8,STData!$R$7:$Z$7,0)+3,FALSE)</f>
        <v>9147.593593752257</v>
      </c>
      <c r="F18" s="7">
        <f>VLOOKUP($AT17,STData!$O$10:$Z$103,MATCH(AZ$8,STData!$R$7:$Z$7,0)+3,FALSE)</f>
        <v>4898.044963561502</v>
      </c>
      <c r="G18" s="8">
        <f>VLOOKUP($AT17,STData!$O$10:$Z$103,MATCH(BA$8,STData!$R$7:$Z$7,0)+3,FALSE)</f>
        <v>5632.796513918674</v>
      </c>
      <c r="H18" s="9">
        <f>VLOOKUP($AT17,STData!$O$10:$Z$103,MATCH(BB$8,STData!$R$7:$Z$7,0)+3,FALSE)</f>
        <v>6612.465247728234</v>
      </c>
      <c r="I18" s="7">
        <f>VLOOKUP($AT17,STData!$O$10:$Z$103,MATCH(BC$8,STData!$R$7:$Z$7,0)+3,FALSE)</f>
        <v>2227.898170249627</v>
      </c>
      <c r="J18" s="8">
        <f>VLOOKUP($AT17,STData!$O$10:$Z$103,MATCH(BD$8,STData!$R$7:$Z$7,0)+3,FALSE)</f>
        <v>2562.3043245788526</v>
      </c>
      <c r="K18" s="9">
        <f>VLOOKUP($AT17,STData!$O$10:$Z$103,MATCH(BE$8,STData!$R$7:$Z$7,0)+3,FALSE)</f>
        <v>3007.7867015315173</v>
      </c>
      <c r="L18" s="26"/>
      <c r="AT18">
        <f t="shared" si="0"/>
        <v>87</v>
      </c>
      <c r="AU18">
        <f>IF(ISNUMBER(VLOOKUP($AT18,STData!$O$10:$P$103,2,FALSE)),AT18,AU19)</f>
        <v>87</v>
      </c>
      <c r="AW18" t="s">
        <v>1308</v>
      </c>
      <c r="AZ18" t="s">
        <v>1229</v>
      </c>
    </row>
    <row r="19" spans="1:52" ht="12.75">
      <c r="A19" s="64" t="str">
        <f>VLOOKUP(AT18,STData!$O$10:$AA$103,13,FALSE)</f>
        <v>old</v>
      </c>
      <c r="B19" s="13" t="str">
        <f>VLOOKUP($AT18,STData!$O$10:$Z$103,3,FALSE)</f>
        <v>Saudi Arabia</v>
      </c>
      <c r="C19" s="7">
        <f>VLOOKUP($AT18,STData!$O$10:$Z$103,MATCH(AW$8,STData!$R$7:$Z$7,0)+3,FALSE)</f>
        <v>6817.488879453809</v>
      </c>
      <c r="D19" s="8">
        <f>VLOOKUP($AT18,STData!$O$10:$Z$103,MATCH(AX$8,STData!$R$7:$Z$7,0)+3,FALSE)</f>
        <v>7840.09813087188</v>
      </c>
      <c r="E19" s="9">
        <f>VLOOKUP($AT18,STData!$O$10:$Z$103,MATCH(AY$8,STData!$R$7:$Z$7,0)+3,FALSE)</f>
        <v>9203.577132762644</v>
      </c>
      <c r="F19" s="7">
        <f>VLOOKUP($AT18,STData!$O$10:$Z$103,MATCH(AZ$8,STData!$R$7:$Z$7,0)+3,FALSE)</f>
        <v>4950.694386630715</v>
      </c>
      <c r="G19" s="8">
        <f>VLOOKUP($AT18,STData!$O$10:$Z$103,MATCH(BA$8,STData!$R$7:$Z$7,0)+3,FALSE)</f>
        <v>5693.683920864158</v>
      </c>
      <c r="H19" s="9">
        <f>VLOOKUP($AT18,STData!$O$10:$Z$103,MATCH(BB$8,STData!$R$7:$Z$7,0)+3,FALSE)</f>
        <v>6684.336633175414</v>
      </c>
      <c r="I19" s="7">
        <f>VLOOKUP($AT18,STData!$O$10:$Z$103,MATCH(BC$8,STData!$R$7:$Z$7,0)+3,FALSE)</f>
        <v>2769.6605925906106</v>
      </c>
      <c r="J19" s="8">
        <f>VLOOKUP($AT18,STData!$O$10:$Z$103,MATCH(BD$8,STData!$R$7:$Z$7,0)+3,FALSE)</f>
        <v>3185.095600979202</v>
      </c>
      <c r="K19" s="9">
        <f>VLOOKUP($AT18,STData!$O$10:$Z$103,MATCH(BE$8,STData!$R$7:$Z$7,0)+3,FALSE)</f>
        <v>3739.008945497324</v>
      </c>
      <c r="L19" s="26"/>
      <c r="AT19">
        <f t="shared" si="0"/>
        <v>86</v>
      </c>
      <c r="AU19">
        <f>IF(ISNUMBER(VLOOKUP($AT19,STData!$O$10:$P$103,2,FALSE)),AT19,AU20)</f>
        <v>86</v>
      </c>
      <c r="AW19" t="s">
        <v>1169</v>
      </c>
      <c r="AZ19" t="s">
        <v>1391</v>
      </c>
    </row>
    <row r="20" spans="1:52" ht="12.75">
      <c r="A20" s="64" t="str">
        <f>VLOOKUP(AT19,STData!$O$10:$AA$103,13,FALSE)</f>
        <v>old</v>
      </c>
      <c r="B20" s="13" t="str">
        <f>VLOOKUP($AT19,STData!$O$10:$Z$103,3,FALSE)</f>
        <v>Bangladesh</v>
      </c>
      <c r="C20" s="7">
        <f>VLOOKUP($AT19,STData!$O$10:$Z$103,MATCH(AW$8,STData!$R$7:$Z$7,0)+3,FALSE)</f>
        <v>6911.0768</v>
      </c>
      <c r="D20" s="8">
        <f>VLOOKUP($AT19,STData!$O$10:$Z$103,MATCH(AX$8,STData!$R$7:$Z$7,0)+3,FALSE)</f>
        <v>7948.0768</v>
      </c>
      <c r="E20" s="9">
        <f>VLOOKUP($AT19,STData!$O$10:$Z$103,MATCH(AY$8,STData!$R$7:$Z$7,0)+3,FALSE)</f>
        <v>9330.0768</v>
      </c>
      <c r="F20" s="7">
        <f>VLOOKUP($AT19,STData!$O$10:$Z$103,MATCH(AZ$8,STData!$R$7:$Z$7,0)+3,FALSE)</f>
        <v>4237.0768</v>
      </c>
      <c r="G20" s="8">
        <f>VLOOKUP($AT19,STData!$O$10:$Z$103,MATCH(BA$8,STData!$R$7:$Z$7,0)+3,FALSE)</f>
        <v>4873.0768</v>
      </c>
      <c r="H20" s="9">
        <f>VLOOKUP($AT19,STData!$O$10:$Z$103,MATCH(BB$8,STData!$R$7:$Z$7,0)+3,FALSE)</f>
        <v>5721.0768</v>
      </c>
      <c r="I20" s="7">
        <f>VLOOKUP($AT19,STData!$O$10:$Z$103,MATCH(BC$8,STData!$R$7:$Z$7,0)+3,FALSE)</f>
        <v>2445.0768</v>
      </c>
      <c r="J20" s="8">
        <f>VLOOKUP($AT19,STData!$O$10:$Z$103,MATCH(BD$8,STData!$R$7:$Z$7,0)+3,FALSE)</f>
        <v>2812.0768</v>
      </c>
      <c r="K20" s="9">
        <f>VLOOKUP($AT19,STData!$O$10:$Z$103,MATCH(BE$8,STData!$R$7:$Z$7,0)+3,FALSE)</f>
        <v>3301.0768</v>
      </c>
      <c r="L20" s="26"/>
      <c r="AT20">
        <f t="shared" si="0"/>
        <v>85</v>
      </c>
      <c r="AU20">
        <f>IF(ISNUMBER(VLOOKUP($AT20,STData!$O$10:$P$103,2,FALSE)),AT20,AU21)</f>
        <v>85</v>
      </c>
      <c r="AW20" t="s">
        <v>1330</v>
      </c>
      <c r="AZ20" t="s">
        <v>1408</v>
      </c>
    </row>
    <row r="21" spans="1:52" ht="12.75">
      <c r="A21" s="64" t="str">
        <f>VLOOKUP(AT20,STData!$O$10:$AA$103,13,FALSE)</f>
        <v>old</v>
      </c>
      <c r="B21" s="13" t="str">
        <f>VLOOKUP($AT20,STData!$O$10:$Z$103,3,FALSE)</f>
        <v>Nepal</v>
      </c>
      <c r="C21" s="7">
        <f>VLOOKUP($AT20,STData!$O$10:$Z$103,MATCH(AW$8,STData!$R$7:$Z$7,0)+3,FALSE)</f>
        <v>6911.089220000001</v>
      </c>
      <c r="D21" s="8">
        <f>VLOOKUP($AT20,STData!$O$10:$Z$103,MATCH(AX$8,STData!$R$7:$Z$7,0)+3,FALSE)</f>
        <v>7948.089220000001</v>
      </c>
      <c r="E21" s="9">
        <f>VLOOKUP($AT20,STData!$O$10:$Z$103,MATCH(AY$8,STData!$R$7:$Z$7,0)+3,FALSE)</f>
        <v>9330.08922</v>
      </c>
      <c r="F21" s="7">
        <f>VLOOKUP($AT20,STData!$O$10:$Z$103,MATCH(AZ$8,STData!$R$7:$Z$7,0)+3,FALSE)</f>
        <v>4237.089220000001</v>
      </c>
      <c r="G21" s="8">
        <f>VLOOKUP($AT20,STData!$O$10:$Z$103,MATCH(BA$8,STData!$R$7:$Z$7,0)+3,FALSE)</f>
        <v>4873.089220000001</v>
      </c>
      <c r="H21" s="9">
        <f>VLOOKUP($AT20,STData!$O$10:$Z$103,MATCH(BB$8,STData!$R$7:$Z$7,0)+3,FALSE)</f>
        <v>5721.089220000001</v>
      </c>
      <c r="I21" s="7">
        <f>VLOOKUP($AT20,STData!$O$10:$Z$103,MATCH(BC$8,STData!$R$7:$Z$7,0)+3,FALSE)</f>
        <v>2445.08922</v>
      </c>
      <c r="J21" s="8">
        <f>VLOOKUP($AT20,STData!$O$10:$Z$103,MATCH(BD$8,STData!$R$7:$Z$7,0)+3,FALSE)</f>
        <v>2812.08922</v>
      </c>
      <c r="K21" s="9">
        <f>VLOOKUP($AT20,STData!$O$10:$Z$103,MATCH(BE$8,STData!$R$7:$Z$7,0)+3,FALSE)</f>
        <v>3301.08922</v>
      </c>
      <c r="L21" s="26"/>
      <c r="AT21">
        <f t="shared" si="0"/>
        <v>84</v>
      </c>
      <c r="AU21">
        <f>IF(ISNUMBER(VLOOKUP($AT21,STData!$O$10:$P$103,2,FALSE)),AT21,AU22)</f>
        <v>84</v>
      </c>
      <c r="AW21" t="s">
        <v>1318</v>
      </c>
      <c r="AZ21" t="s">
        <v>1230</v>
      </c>
    </row>
    <row r="22" spans="1:52" ht="12.75">
      <c r="A22" s="64" t="str">
        <f>VLOOKUP(AT21,STData!$O$10:$AA$103,13,FALSE)</f>
        <v>old</v>
      </c>
      <c r="B22" s="13" t="str">
        <f>VLOOKUP($AT21,STData!$O$10:$Z$103,3,FALSE)</f>
        <v>Jordan</v>
      </c>
      <c r="C22" s="7">
        <f>VLOOKUP($AT21,STData!$O$10:$Z$103,MATCH(AW$8,STData!$R$7:$Z$7,0)+3,FALSE)</f>
        <v>6972.84670054479</v>
      </c>
      <c r="D22" s="8">
        <f>VLOOKUP($AT21,STData!$O$10:$Z$103,MATCH(AX$8,STData!$R$7:$Z$7,0)+3,FALSE)</f>
        <v>8018.901179623701</v>
      </c>
      <c r="E22" s="9">
        <f>VLOOKUP($AT21,STData!$O$10:$Z$103,MATCH(AY$8,STData!$R$7:$Z$7,0)+3,FALSE)</f>
        <v>9414.576551710194</v>
      </c>
      <c r="F22" s="7">
        <f>VLOOKUP($AT21,STData!$O$10:$Z$103,MATCH(AZ$8,STData!$R$7:$Z$7,0)+3,FALSE)</f>
        <v>4979.02474042123</v>
      </c>
      <c r="G22" s="8">
        <f>VLOOKUP($AT21,STData!$O$10:$Z$103,MATCH(BA$8,STData!$R$7:$Z$7,0)+3,FALSE)</f>
        <v>5726.005925481606</v>
      </c>
      <c r="H22" s="9">
        <f>VLOOKUP($AT21,STData!$O$10:$Z$103,MATCH(BB$8,STData!$R$7:$Z$7,0)+3,FALSE)</f>
        <v>6722.916905543386</v>
      </c>
      <c r="I22" s="7">
        <f>VLOOKUP($AT21,STData!$O$10:$Z$103,MATCH(BC$8,STData!$R$7:$Z$7,0)+3,FALSE)</f>
        <v>2552.739988946925</v>
      </c>
      <c r="J22" s="8">
        <f>VLOOKUP($AT21,STData!$O$10:$Z$103,MATCH(BD$8,STData!$R$7:$Z$7,0)+3,FALSE)</f>
        <v>2934.655181308621</v>
      </c>
      <c r="K22" s="9">
        <f>VLOOKUP($AT21,STData!$O$10:$Z$103,MATCH(BE$8,STData!$R$7:$Z$7,0)+3,FALSE)</f>
        <v>3445.7475710867734</v>
      </c>
      <c r="L22" s="26"/>
      <c r="AT22">
        <f t="shared" si="0"/>
        <v>83</v>
      </c>
      <c r="AU22">
        <f>IF(ISNUMBER(VLOOKUP($AT22,STData!$O$10:$P$103,2,FALSE)),AT22,AU23)</f>
        <v>83</v>
      </c>
      <c r="AW22" t="s">
        <v>1270</v>
      </c>
      <c r="AZ22" t="s">
        <v>1234</v>
      </c>
    </row>
    <row r="23" spans="1:52" ht="12.75">
      <c r="A23" s="64" t="str">
        <f>VLOOKUP(AT22,STData!$O$10:$AA$103,13,FALSE)</f>
        <v>old</v>
      </c>
      <c r="B23" s="13" t="str">
        <f>VLOOKUP($AT22,STData!$O$10:$Z$103,3,FALSE)</f>
        <v>Armenia</v>
      </c>
      <c r="C23" s="7">
        <f>VLOOKUP($AT22,STData!$O$10:$Z$103,MATCH(AW$8,STData!$R$7:$Z$7,0)+3,FALSE)</f>
        <v>7500.07749</v>
      </c>
      <c r="D23" s="8">
        <f>VLOOKUP($AT22,STData!$O$10:$Z$103,MATCH(AX$8,STData!$R$7:$Z$7,0)+3,FALSE)</f>
        <v>8600.07749</v>
      </c>
      <c r="E23" s="9">
        <f>VLOOKUP($AT22,STData!$O$10:$Z$103,MATCH(AY$8,STData!$R$7:$Z$7,0)+3,FALSE)</f>
        <v>10110.07749</v>
      </c>
      <c r="F23" s="7">
        <f>VLOOKUP($AT22,STData!$O$10:$Z$103,MATCH(AZ$8,STData!$R$7:$Z$7,0)+3,FALSE)</f>
        <v>5350.07749</v>
      </c>
      <c r="G23" s="8">
        <f>VLOOKUP($AT22,STData!$O$10:$Z$103,MATCH(BA$8,STData!$R$7:$Z$7,0)+3,FALSE)</f>
        <v>6150.07749</v>
      </c>
      <c r="H23" s="9">
        <f>VLOOKUP($AT22,STData!$O$10:$Z$103,MATCH(BB$8,STData!$R$7:$Z$7,0)+3,FALSE)</f>
        <v>7220.07749</v>
      </c>
      <c r="I23" s="7">
        <f>VLOOKUP($AT22,STData!$O$10:$Z$103,MATCH(BC$8,STData!$R$7:$Z$7,0)+3,FALSE)</f>
        <v>2610.07749</v>
      </c>
      <c r="J23" s="8">
        <f>VLOOKUP($AT22,STData!$O$10:$Z$103,MATCH(BD$8,STData!$R$7:$Z$7,0)+3,FALSE)</f>
        <v>3001.07749</v>
      </c>
      <c r="K23" s="9">
        <f>VLOOKUP($AT22,STData!$O$10:$Z$103,MATCH(BE$8,STData!$R$7:$Z$7,0)+3,FALSE)</f>
        <v>3523.07749</v>
      </c>
      <c r="L23" s="26"/>
      <c r="AT23">
        <f t="shared" si="0"/>
        <v>82</v>
      </c>
      <c r="AU23">
        <f>IF(ISNUMBER(VLOOKUP($AT23,STData!$O$10:$P$103,2,FALSE)),AT23,AU24)</f>
        <v>82</v>
      </c>
      <c r="AW23" t="s">
        <v>1319</v>
      </c>
      <c r="AZ23" t="s">
        <v>1409</v>
      </c>
    </row>
    <row r="24" spans="1:52" ht="12.75">
      <c r="A24" s="64" t="str">
        <f>VLOOKUP(AT23,STData!$O$10:$AA$103,13,FALSE)</f>
        <v>old</v>
      </c>
      <c r="B24" s="13" t="str">
        <f>VLOOKUP($AT23,STData!$O$10:$Z$103,3,FALSE)</f>
        <v>Azerbaijan</v>
      </c>
      <c r="C24" s="7">
        <f>VLOOKUP($AT23,STData!$O$10:$Z$103,MATCH(AW$8,STData!$R$7:$Z$7,0)+3,FALSE)</f>
        <v>7500.07821</v>
      </c>
      <c r="D24" s="8">
        <f>VLOOKUP($AT23,STData!$O$10:$Z$103,MATCH(AX$8,STData!$R$7:$Z$7,0)+3,FALSE)</f>
        <v>8600.07821</v>
      </c>
      <c r="E24" s="9">
        <f>VLOOKUP($AT23,STData!$O$10:$Z$103,MATCH(AY$8,STData!$R$7:$Z$7,0)+3,FALSE)</f>
        <v>10110.07821</v>
      </c>
      <c r="F24" s="7">
        <f>VLOOKUP($AT23,STData!$O$10:$Z$103,MATCH(AZ$8,STData!$R$7:$Z$7,0)+3,FALSE)</f>
        <v>5350.07821</v>
      </c>
      <c r="G24" s="8">
        <f>VLOOKUP($AT23,STData!$O$10:$Z$103,MATCH(BA$8,STData!$R$7:$Z$7,0)+3,FALSE)</f>
        <v>6150.07821</v>
      </c>
      <c r="H24" s="9">
        <f>VLOOKUP($AT23,STData!$O$10:$Z$103,MATCH(BB$8,STData!$R$7:$Z$7,0)+3,FALSE)</f>
        <v>7220.07821</v>
      </c>
      <c r="I24" s="7">
        <f>VLOOKUP($AT23,STData!$O$10:$Z$103,MATCH(BC$8,STData!$R$7:$Z$7,0)+3,FALSE)</f>
        <v>2610.07821</v>
      </c>
      <c r="J24" s="8">
        <f>VLOOKUP($AT23,STData!$O$10:$Z$103,MATCH(BD$8,STData!$R$7:$Z$7,0)+3,FALSE)</f>
        <v>3001.07821</v>
      </c>
      <c r="K24" s="9">
        <f>VLOOKUP($AT23,STData!$O$10:$Z$103,MATCH(BE$8,STData!$R$7:$Z$7,0)+3,FALSE)</f>
        <v>3523.07821</v>
      </c>
      <c r="L24" s="26"/>
      <c r="AT24">
        <f t="shared" si="0"/>
        <v>81</v>
      </c>
      <c r="AU24">
        <f>IF(ISNUMBER(VLOOKUP($AT24,STData!$O$10:$P$103,2,FALSE)),AT24,AU25)</f>
        <v>81</v>
      </c>
      <c r="AW24" t="s">
        <v>1272</v>
      </c>
      <c r="AZ24" t="s">
        <v>1030</v>
      </c>
    </row>
    <row r="25" spans="1:52" ht="12.75">
      <c r="A25" s="64" t="str">
        <f>VLOOKUP(AT24,STData!$O$10:$AA$103,13,FALSE)</f>
        <v>old</v>
      </c>
      <c r="B25" s="13" t="str">
        <f>VLOOKUP($AT24,STData!$O$10:$Z$103,3,FALSE)</f>
        <v>Comoros</v>
      </c>
      <c r="C25" s="7">
        <f>VLOOKUP($AT24,STData!$O$10:$Z$103,MATCH(AW$8,STData!$R$7:$Z$7,0)+3,FALSE)</f>
        <v>7530.0791899999995</v>
      </c>
      <c r="D25" s="8">
        <f>VLOOKUP($AT24,STData!$O$10:$Z$103,MATCH(AX$8,STData!$R$7:$Z$7,0)+3,FALSE)</f>
        <v>8663.079189999999</v>
      </c>
      <c r="E25" s="9">
        <f>VLOOKUP($AT24,STData!$O$10:$Z$103,MATCH(AY$8,STData!$R$7:$Z$7,0)+3,FALSE)</f>
        <v>10171.079189999999</v>
      </c>
      <c r="F25" s="7">
        <f>VLOOKUP($AT24,STData!$O$10:$Z$103,MATCH(AZ$8,STData!$R$7:$Z$7,0)+3,FALSE)</f>
        <v>6011.0791899999995</v>
      </c>
      <c r="G25" s="8">
        <f>VLOOKUP($AT24,STData!$O$10:$Z$103,MATCH(BA$8,STData!$R$7:$Z$7,0)+3,FALSE)</f>
        <v>6926.0791899999995</v>
      </c>
      <c r="H25" s="9">
        <f>VLOOKUP($AT24,STData!$O$10:$Z$103,MATCH(BB$8,STData!$R$7:$Z$7,0)+3,FALSE)</f>
        <v>8122.0791899999995</v>
      </c>
      <c r="I25" s="7">
        <f>VLOOKUP($AT24,STData!$O$10:$Z$103,MATCH(BC$8,STData!$R$7:$Z$7,0)+3,FALSE)</f>
        <v>3327.0791900000004</v>
      </c>
      <c r="J25" s="8">
        <f>VLOOKUP($AT24,STData!$O$10:$Z$103,MATCH(BD$8,STData!$R$7:$Z$7,0)+3,FALSE)</f>
        <v>3785.0791900000004</v>
      </c>
      <c r="K25" s="9">
        <f>VLOOKUP($AT24,STData!$O$10:$Z$103,MATCH(BE$8,STData!$R$7:$Z$7,0)+3,FALSE)</f>
        <v>4471.0791899999995</v>
      </c>
      <c r="L25" s="26"/>
      <c r="AT25">
        <f t="shared" si="0"/>
        <v>80</v>
      </c>
      <c r="AU25">
        <f>IF(ISNUMBER(VLOOKUP($AT25,STData!$O$10:$P$103,2,FALSE)),AT25,AU26)</f>
        <v>80</v>
      </c>
      <c r="AW25" t="s">
        <v>1344</v>
      </c>
      <c r="AZ25" t="s">
        <v>1235</v>
      </c>
    </row>
    <row r="26" spans="1:52" ht="12.75">
      <c r="A26" s="64" t="str">
        <f>VLOOKUP(AT25,STData!$O$10:$AA$103,13,FALSE)</f>
        <v>old</v>
      </c>
      <c r="B26" s="13" t="str">
        <f>VLOOKUP($AT25,STData!$O$10:$Z$103,3,FALSE)</f>
        <v>Dominican Rep</v>
      </c>
      <c r="C26" s="7">
        <f>VLOOKUP($AT25,STData!$O$10:$Z$103,MATCH(AW$8,STData!$R$7:$Z$7,0)+3,FALSE)</f>
        <v>7530.08019</v>
      </c>
      <c r="D26" s="8">
        <f>VLOOKUP($AT25,STData!$O$10:$Z$103,MATCH(AX$8,STData!$R$7:$Z$7,0)+3,FALSE)</f>
        <v>8663.080189999999</v>
      </c>
      <c r="E26" s="9">
        <f>VLOOKUP($AT25,STData!$O$10:$Z$103,MATCH(AY$8,STData!$R$7:$Z$7,0)+3,FALSE)</f>
        <v>10171.080189999999</v>
      </c>
      <c r="F26" s="7">
        <f>VLOOKUP($AT25,STData!$O$10:$Z$103,MATCH(AZ$8,STData!$R$7:$Z$7,0)+3,FALSE)</f>
        <v>6011.08019</v>
      </c>
      <c r="G26" s="8">
        <f>VLOOKUP($AT25,STData!$O$10:$Z$103,MATCH(BA$8,STData!$R$7:$Z$7,0)+3,FALSE)</f>
        <v>6926.08019</v>
      </c>
      <c r="H26" s="9">
        <f>VLOOKUP($AT25,STData!$O$10:$Z$103,MATCH(BB$8,STData!$R$7:$Z$7,0)+3,FALSE)</f>
        <v>8122.08019</v>
      </c>
      <c r="I26" s="7">
        <f>VLOOKUP($AT25,STData!$O$10:$Z$103,MATCH(BC$8,STData!$R$7:$Z$7,0)+3,FALSE)</f>
        <v>3327.0801900000006</v>
      </c>
      <c r="J26" s="8">
        <f>VLOOKUP($AT25,STData!$O$10:$Z$103,MATCH(BD$8,STData!$R$7:$Z$7,0)+3,FALSE)</f>
        <v>3781.0801900000006</v>
      </c>
      <c r="K26" s="9">
        <f>VLOOKUP($AT25,STData!$O$10:$Z$103,MATCH(BE$8,STData!$R$7:$Z$7,0)+3,FALSE)</f>
        <v>4471.08019</v>
      </c>
      <c r="L26" s="26"/>
      <c r="AT26">
        <f t="shared" si="0"/>
        <v>79</v>
      </c>
      <c r="AU26">
        <f>IF(ISNUMBER(VLOOKUP($AT26,STData!$O$10:$P$103,2,FALSE)),AT26,AU27)</f>
        <v>79</v>
      </c>
      <c r="AW26" t="s">
        <v>1345</v>
      </c>
      <c r="AZ26" t="s">
        <v>1392</v>
      </c>
    </row>
    <row r="27" spans="1:52" ht="12.75">
      <c r="A27" s="64" t="str">
        <f>VLOOKUP(AT26,STData!$O$10:$AA$103,13,FALSE)</f>
        <v>old</v>
      </c>
      <c r="B27" s="13" t="str">
        <f>VLOOKUP($AT26,STData!$O$10:$Z$103,3,FALSE)</f>
        <v>Madagascar</v>
      </c>
      <c r="C27" s="7">
        <f>VLOOKUP($AT26,STData!$O$10:$Z$103,MATCH(AW$8,STData!$R$7:$Z$7,0)+3,FALSE)</f>
        <v>7530.0877</v>
      </c>
      <c r="D27" s="8">
        <f>VLOOKUP($AT26,STData!$O$10:$Z$103,MATCH(AX$8,STData!$R$7:$Z$7,0)+3,FALSE)</f>
        <v>8663.0877</v>
      </c>
      <c r="E27" s="9">
        <f>VLOOKUP($AT26,STData!$O$10:$Z$103,MATCH(AY$8,STData!$R$7:$Z$7,0)+3,FALSE)</f>
        <v>10171.0877</v>
      </c>
      <c r="F27" s="7">
        <f>VLOOKUP($AT26,STData!$O$10:$Z$103,MATCH(AZ$8,STData!$R$7:$Z$7,0)+3,FALSE)</f>
        <v>6011.0877</v>
      </c>
      <c r="G27" s="8">
        <f>VLOOKUP($AT26,STData!$O$10:$Z$103,MATCH(BA$8,STData!$R$7:$Z$7,0)+3,FALSE)</f>
        <v>6926.0877</v>
      </c>
      <c r="H27" s="9">
        <f>VLOOKUP($AT26,STData!$O$10:$Z$103,MATCH(BB$8,STData!$R$7:$Z$7,0)+3,FALSE)</f>
        <v>8122.0877</v>
      </c>
      <c r="I27" s="7">
        <f>VLOOKUP($AT26,STData!$O$10:$Z$103,MATCH(BC$8,STData!$R$7:$Z$7,0)+3,FALSE)</f>
        <v>3327.0877000000005</v>
      </c>
      <c r="J27" s="8">
        <f>VLOOKUP($AT26,STData!$O$10:$Z$103,MATCH(BD$8,STData!$R$7:$Z$7,0)+3,FALSE)</f>
        <v>3785.0877000000005</v>
      </c>
      <c r="K27" s="9">
        <f>VLOOKUP($AT26,STData!$O$10:$Z$103,MATCH(BE$8,STData!$R$7:$Z$7,0)+3,FALSE)</f>
        <v>4471.0877</v>
      </c>
      <c r="L27" s="26"/>
      <c r="AT27">
        <f t="shared" si="0"/>
        <v>78</v>
      </c>
      <c r="AU27">
        <f>IF(ISNUMBER(VLOOKUP($AT27,STData!$O$10:$P$103,2,FALSE)),AT27,AU28)</f>
        <v>78</v>
      </c>
      <c r="AW27" t="s">
        <v>1273</v>
      </c>
      <c r="AZ27" t="s">
        <v>1236</v>
      </c>
    </row>
    <row r="28" spans="1:52" ht="12.75">
      <c r="A28" s="64" t="str">
        <f>VLOOKUP(AT27,STData!$O$10:$AA$103,13,FALSE)</f>
        <v>old</v>
      </c>
      <c r="B28" s="13" t="str">
        <f>VLOOKUP($AT27,STData!$O$10:$Z$103,3,FALSE)</f>
        <v>Neth Antilles</v>
      </c>
      <c r="C28" s="7">
        <f>VLOOKUP($AT27,STData!$O$10:$Z$103,MATCH(AW$8,STData!$R$7:$Z$7,0)+3,FALSE)</f>
        <v>7530.089260000001</v>
      </c>
      <c r="D28" s="8">
        <f>VLOOKUP($AT27,STData!$O$10:$Z$103,MATCH(AX$8,STData!$R$7:$Z$7,0)+3,FALSE)</f>
        <v>8663.089259999999</v>
      </c>
      <c r="E28" s="9">
        <f>VLOOKUP($AT27,STData!$O$10:$Z$103,MATCH(AY$8,STData!$R$7:$Z$7,0)+3,FALSE)</f>
        <v>10171.089259999999</v>
      </c>
      <c r="F28" s="7">
        <f>VLOOKUP($AT27,STData!$O$10:$Z$103,MATCH(AZ$8,STData!$R$7:$Z$7,0)+3,FALSE)</f>
        <v>6011.089260000001</v>
      </c>
      <c r="G28" s="8">
        <f>VLOOKUP($AT27,STData!$O$10:$Z$103,MATCH(BA$8,STData!$R$7:$Z$7,0)+3,FALSE)</f>
        <v>6926.089260000001</v>
      </c>
      <c r="H28" s="9">
        <f>VLOOKUP($AT27,STData!$O$10:$Z$103,MATCH(BB$8,STData!$R$7:$Z$7,0)+3,FALSE)</f>
        <v>8122.089260000001</v>
      </c>
      <c r="I28" s="7">
        <f>VLOOKUP($AT27,STData!$O$10:$Z$103,MATCH(BC$8,STData!$R$7:$Z$7,0)+3,FALSE)</f>
        <v>3327.0892599999997</v>
      </c>
      <c r="J28" s="8">
        <f>VLOOKUP($AT27,STData!$O$10:$Z$103,MATCH(BD$8,STData!$R$7:$Z$7,0)+3,FALSE)</f>
        <v>3785.0892599999997</v>
      </c>
      <c r="K28" s="9">
        <f>VLOOKUP($AT27,STData!$O$10:$Z$103,MATCH(BE$8,STData!$R$7:$Z$7,0)+3,FALSE)</f>
        <v>4471.089260000001</v>
      </c>
      <c r="L28" s="26"/>
      <c r="AT28">
        <f t="shared" si="0"/>
        <v>77</v>
      </c>
      <c r="AU28">
        <f>IF(ISNUMBER(VLOOKUP($AT28,STData!$O$10:$P$103,2,FALSE)),AT28,AU29)</f>
        <v>77</v>
      </c>
      <c r="AW28" t="s">
        <v>1274</v>
      </c>
      <c r="AZ28" t="s">
        <v>1224</v>
      </c>
    </row>
    <row r="29" spans="1:52" ht="12.75">
      <c r="A29" s="64" t="str">
        <f>VLOOKUP(AT28,STData!$O$10:$AA$103,13,FALSE)</f>
        <v>old</v>
      </c>
      <c r="B29" s="13" t="str">
        <f>VLOOKUP($AT28,STData!$O$10:$Z$103,3,FALSE)</f>
        <v>Kuwait</v>
      </c>
      <c r="C29" s="7">
        <f>VLOOKUP($AT28,STData!$O$10:$Z$103,MATCH(AW$8,STData!$R$7:$Z$7,0)+3,FALSE)</f>
        <v>7706.167710962327</v>
      </c>
      <c r="D29" s="8">
        <f>VLOOKUP($AT28,STData!$O$10:$Z$103,MATCH(AX$8,STData!$R$7:$Z$7,0)+3,FALSE)</f>
        <v>8862.45267925774</v>
      </c>
      <c r="E29" s="9">
        <f>VLOOKUP($AT28,STData!$O$10:$Z$103,MATCH(AY$8,STData!$R$7:$Z$7,0)+3,FALSE)</f>
        <v>10402.92265314808</v>
      </c>
      <c r="F29" s="7">
        <f>VLOOKUP($AT28,STData!$O$10:$Z$103,MATCH(AZ$8,STData!$R$7:$Z$7,0)+3,FALSE)</f>
        <v>5949.360549455427</v>
      </c>
      <c r="G29" s="8">
        <f>VLOOKUP($AT28,STData!$O$10:$Z$103,MATCH(BA$8,STData!$R$7:$Z$7,0)+3,FALSE)</f>
        <v>6840.8189604960835</v>
      </c>
      <c r="H29" s="9">
        <f>VLOOKUP($AT28,STData!$O$10:$Z$103,MATCH(BB$8,STData!$R$7:$Z$7,0)+3,FALSE)</f>
        <v>8030.673492387169</v>
      </c>
      <c r="I29" s="7">
        <f>VLOOKUP($AT28,STData!$O$10:$Z$103,MATCH(BC$8,STData!$R$7:$Z$7,0)+3,FALSE)</f>
        <v>3107.1374983550913</v>
      </c>
      <c r="J29" s="8">
        <f>VLOOKUP($AT28,STData!$O$10:$Z$103,MATCH(BD$8,STData!$R$7:$Z$7,0)+3,FALSE)</f>
        <v>3573.381437183886</v>
      </c>
      <c r="K29" s="9">
        <f>VLOOKUP($AT28,STData!$O$10:$Z$103,MATCH(BE$8,STData!$R$7:$Z$7,0)+3,FALSE)</f>
        <v>4192.5533879485265</v>
      </c>
      <c r="L29" s="26"/>
      <c r="AT29">
        <f t="shared" si="0"/>
        <v>76</v>
      </c>
      <c r="AU29">
        <f>IF(ISNUMBER(VLOOKUP($AT29,STData!$O$10:$P$103,2,FALSE)),AT29,AU30)</f>
        <v>76</v>
      </c>
      <c r="AW29" t="s">
        <v>1346</v>
      </c>
      <c r="AZ29" t="s">
        <v>1237</v>
      </c>
    </row>
    <row r="30" spans="1:52" ht="12.75">
      <c r="A30" s="64" t="str">
        <f>VLOOKUP(AT29,STData!$O$10:$AA$103,13,FALSE)</f>
        <v>old</v>
      </c>
      <c r="B30" s="13" t="str">
        <f>VLOOKUP($AT29,STData!$O$10:$Z$103,3,FALSE)</f>
        <v>Bahamas</v>
      </c>
      <c r="C30" s="7">
        <f>VLOOKUP($AT29,STData!$O$10:$Z$103,MATCH(AW$8,STData!$R$7:$Z$7,0)+3,FALSE)</f>
        <v>7717.0767399999995</v>
      </c>
      <c r="D30" s="8">
        <f>VLOOKUP($AT29,STData!$O$10:$Z$103,MATCH(AX$8,STData!$R$7:$Z$7,0)+3,FALSE)</f>
        <v>8874.07674</v>
      </c>
      <c r="E30" s="9">
        <f>VLOOKUP($AT29,STData!$O$10:$Z$103,MATCH(AY$8,STData!$R$7:$Z$7,0)+3,FALSE)</f>
        <v>10418.07674</v>
      </c>
      <c r="F30" s="7">
        <f>VLOOKUP($AT29,STData!$O$10:$Z$103,MATCH(AZ$8,STData!$R$7:$Z$7,0)+3,FALSE)</f>
        <v>6063.0767399999995</v>
      </c>
      <c r="G30" s="8">
        <f>VLOOKUP($AT29,STData!$O$10:$Z$103,MATCH(BA$8,STData!$R$7:$Z$7,0)+3,FALSE)</f>
        <v>6978.0767399999995</v>
      </c>
      <c r="H30" s="9">
        <f>VLOOKUP($AT29,STData!$O$10:$Z$103,MATCH(BB$8,STData!$R$7:$Z$7,0)+3,FALSE)</f>
        <v>8191.0767399999995</v>
      </c>
      <c r="I30" s="7">
        <f>VLOOKUP($AT29,STData!$O$10:$Z$103,MATCH(BC$8,STData!$R$7:$Z$7,0)+3,FALSE)</f>
        <v>3320.07674</v>
      </c>
      <c r="J30" s="8">
        <f>VLOOKUP($AT29,STData!$O$10:$Z$103,MATCH(BD$8,STData!$R$7:$Z$7,0)+3,FALSE)</f>
        <v>3823.07674</v>
      </c>
      <c r="K30" s="9">
        <f>VLOOKUP($AT29,STData!$O$10:$Z$103,MATCH(BE$8,STData!$R$7:$Z$7,0)+3,FALSE)</f>
        <v>4488.0767399999995</v>
      </c>
      <c r="L30" s="26"/>
      <c r="AT30">
        <f t="shared" si="0"/>
        <v>75</v>
      </c>
      <c r="AU30">
        <f>IF(ISNUMBER(VLOOKUP($AT30,STData!$O$10:$P$103,2,FALSE)),AT30,AU31)</f>
        <v>75</v>
      </c>
      <c r="AW30" t="s">
        <v>1278</v>
      </c>
      <c r="AZ30" t="s">
        <v>1410</v>
      </c>
    </row>
    <row r="31" spans="1:52" ht="12.75">
      <c r="A31" s="64" t="str">
        <f>VLOOKUP(AT30,STData!$O$10:$AA$103,13,FALSE)</f>
        <v>old</v>
      </c>
      <c r="B31" s="13" t="str">
        <f>VLOOKUP($AT30,STData!$O$10:$Z$103,3,FALSE)</f>
        <v>Bermuda</v>
      </c>
      <c r="C31" s="7">
        <f>VLOOKUP($AT30,STData!$O$10:$Z$103,MATCH(AW$8,STData!$R$7:$Z$7,0)+3,FALSE)</f>
        <v>7717.0772400000005</v>
      </c>
      <c r="D31" s="8">
        <f>VLOOKUP($AT30,STData!$O$10:$Z$103,MATCH(AX$8,STData!$R$7:$Z$7,0)+3,FALSE)</f>
        <v>8874.07724</v>
      </c>
      <c r="E31" s="9">
        <f>VLOOKUP($AT30,STData!$O$10:$Z$103,MATCH(AY$8,STData!$R$7:$Z$7,0)+3,FALSE)</f>
        <v>10418.07724</v>
      </c>
      <c r="F31" s="7">
        <f>VLOOKUP($AT30,STData!$O$10:$Z$103,MATCH(AZ$8,STData!$R$7:$Z$7,0)+3,FALSE)</f>
        <v>6063.0772400000005</v>
      </c>
      <c r="G31" s="8">
        <f>VLOOKUP($AT30,STData!$O$10:$Z$103,MATCH(BA$8,STData!$R$7:$Z$7,0)+3,FALSE)</f>
        <v>6978.0772400000005</v>
      </c>
      <c r="H31" s="9">
        <f>VLOOKUP($AT30,STData!$O$10:$Z$103,MATCH(BB$8,STData!$R$7:$Z$7,0)+3,FALSE)</f>
        <v>8191.0772400000005</v>
      </c>
      <c r="I31" s="7">
        <f>VLOOKUP($AT30,STData!$O$10:$Z$103,MATCH(BC$8,STData!$R$7:$Z$7,0)+3,FALSE)</f>
        <v>3320.0772399999996</v>
      </c>
      <c r="J31" s="8">
        <f>VLOOKUP($AT30,STData!$O$10:$Z$103,MATCH(BD$8,STData!$R$7:$Z$7,0)+3,FALSE)</f>
        <v>3823.0772399999996</v>
      </c>
      <c r="K31" s="9">
        <f>VLOOKUP($AT30,STData!$O$10:$Z$103,MATCH(BE$8,STData!$R$7:$Z$7,0)+3,FALSE)</f>
        <v>4488.0772400000005</v>
      </c>
      <c r="L31" s="26"/>
      <c r="AT31">
        <f t="shared" si="0"/>
        <v>74</v>
      </c>
      <c r="AU31">
        <f>IF(ISNUMBER(VLOOKUP($AT31,STData!$O$10:$P$103,2,FALSE)),AT31,AU32)</f>
        <v>74</v>
      </c>
      <c r="AW31" t="s">
        <v>1320</v>
      </c>
      <c r="AZ31" t="s">
        <v>1411</v>
      </c>
    </row>
    <row r="32" spans="1:52" ht="12.75">
      <c r="A32" s="64" t="str">
        <f>VLOOKUP(AT31,STData!$O$10:$AA$103,13,FALSE)</f>
        <v>old</v>
      </c>
      <c r="B32" s="13" t="str">
        <f>VLOOKUP($AT31,STData!$O$10:$Z$103,3,FALSE)</f>
        <v>Jamaica</v>
      </c>
      <c r="C32" s="7">
        <f>VLOOKUP($AT31,STData!$O$10:$Z$103,MATCH(AW$8,STData!$R$7:$Z$7,0)+3,FALSE)</f>
        <v>7717.084789999999</v>
      </c>
      <c r="D32" s="8">
        <f>VLOOKUP($AT31,STData!$O$10:$Z$103,MATCH(AX$8,STData!$R$7:$Z$7,0)+3,FALSE)</f>
        <v>8874.08479</v>
      </c>
      <c r="E32" s="9">
        <f>VLOOKUP($AT31,STData!$O$10:$Z$103,MATCH(AY$8,STData!$R$7:$Z$7,0)+3,FALSE)</f>
        <v>10418.08479</v>
      </c>
      <c r="F32" s="7">
        <f>VLOOKUP($AT31,STData!$O$10:$Z$103,MATCH(AZ$8,STData!$R$7:$Z$7,0)+3,FALSE)</f>
        <v>6063.084789999999</v>
      </c>
      <c r="G32" s="8">
        <f>VLOOKUP($AT31,STData!$O$10:$Z$103,MATCH(BA$8,STData!$R$7:$Z$7,0)+3,FALSE)</f>
        <v>6978.084789999999</v>
      </c>
      <c r="H32" s="9">
        <f>VLOOKUP($AT31,STData!$O$10:$Z$103,MATCH(BB$8,STData!$R$7:$Z$7,0)+3,FALSE)</f>
        <v>8191.084789999999</v>
      </c>
      <c r="I32" s="7">
        <f>VLOOKUP($AT31,STData!$O$10:$Z$103,MATCH(BC$8,STData!$R$7:$Z$7,0)+3,FALSE)</f>
        <v>3320.0847900000003</v>
      </c>
      <c r="J32" s="8">
        <f>VLOOKUP($AT31,STData!$O$10:$Z$103,MATCH(BD$8,STData!$R$7:$Z$7,0)+3,FALSE)</f>
        <v>3823.0847900000003</v>
      </c>
      <c r="K32" s="9">
        <f>VLOOKUP($AT31,STData!$O$10:$Z$103,MATCH(BE$8,STData!$R$7:$Z$7,0)+3,FALSE)</f>
        <v>4488.084789999999</v>
      </c>
      <c r="L32" s="26"/>
      <c r="AT32">
        <f t="shared" si="0"/>
        <v>73</v>
      </c>
      <c r="AU32">
        <f>IF(ISNUMBER(VLOOKUP($AT32,STData!$O$10:$P$103,2,FALSE)),AT32,AU33)</f>
        <v>73</v>
      </c>
      <c r="AW32" t="s">
        <v>1322</v>
      </c>
      <c r="AZ32" t="s">
        <v>1245</v>
      </c>
    </row>
    <row r="33" spans="1:52" ht="12.75">
      <c r="A33" s="64" t="str">
        <f>VLOOKUP(AT32,STData!$O$10:$AA$103,13,FALSE)</f>
        <v>old</v>
      </c>
      <c r="B33" s="13" t="str">
        <f>VLOOKUP($AT32,STData!$O$10:$Z$103,3,FALSE)</f>
        <v>Chile</v>
      </c>
      <c r="C33" s="7">
        <f>VLOOKUP($AT32,STData!$O$10:$Z$103,MATCH(AW$8,STData!$R$7:$Z$7,0)+3,FALSE)</f>
        <v>8140.07845</v>
      </c>
      <c r="D33" s="8">
        <f>VLOOKUP($AT32,STData!$O$10:$Z$103,MATCH(AX$8,STData!$R$7:$Z$7,0)+3,FALSE)</f>
        <v>9370.078449999999</v>
      </c>
      <c r="E33" s="9">
        <f>VLOOKUP($AT32,STData!$O$10:$Z$103,MATCH(AY$8,STData!$R$7:$Z$7,0)+3,FALSE)</f>
        <v>10990.078449999999</v>
      </c>
      <c r="F33" s="7">
        <f>VLOOKUP($AT32,STData!$O$10:$Z$103,MATCH(AZ$8,STData!$R$7:$Z$7,0)+3,FALSE)</f>
        <v>6500.07845</v>
      </c>
      <c r="G33" s="8">
        <f>VLOOKUP($AT32,STData!$O$10:$Z$103,MATCH(BA$8,STData!$R$7:$Z$7,0)+3,FALSE)</f>
        <v>7480.07845</v>
      </c>
      <c r="H33" s="9">
        <f>VLOOKUP($AT32,STData!$O$10:$Z$103,MATCH(BB$8,STData!$R$7:$Z$7,0)+3,FALSE)</f>
        <v>8780.078449999999</v>
      </c>
      <c r="I33" s="7">
        <f>VLOOKUP($AT32,STData!$O$10:$Z$103,MATCH(BC$8,STData!$R$7:$Z$7,0)+3,FALSE)</f>
        <v>2680.07845</v>
      </c>
      <c r="J33" s="8">
        <f>VLOOKUP($AT32,STData!$O$10:$Z$103,MATCH(BD$8,STData!$R$7:$Z$7,0)+3,FALSE)</f>
        <v>3080.07845</v>
      </c>
      <c r="K33" s="9">
        <f>VLOOKUP($AT32,STData!$O$10:$Z$103,MATCH(BE$8,STData!$R$7:$Z$7,0)+3,FALSE)</f>
        <v>3610.07845</v>
      </c>
      <c r="L33" s="26"/>
      <c r="AT33">
        <f t="shared" si="0"/>
        <v>72</v>
      </c>
      <c r="AU33">
        <f>IF(ISNUMBER(VLOOKUP($AT33,STData!$O$10:$P$103,2,FALSE)),AT33,AU34)</f>
        <v>72</v>
      </c>
      <c r="AW33" t="s">
        <v>1321</v>
      </c>
      <c r="AZ33" t="s">
        <v>1413</v>
      </c>
    </row>
    <row r="34" spans="1:52" ht="12.75">
      <c r="A34" s="64" t="str">
        <f>VLOOKUP(AT33,STData!$O$10:$AA$103,13,FALSE)</f>
        <v>old</v>
      </c>
      <c r="B34" s="13" t="str">
        <f>VLOOKUP($AT33,STData!$O$10:$Z$103,3,FALSE)</f>
        <v>Colombia</v>
      </c>
      <c r="C34" s="7">
        <f>VLOOKUP($AT33,STData!$O$10:$Z$103,MATCH(AW$8,STData!$R$7:$Z$7,0)+3,FALSE)</f>
        <v>8140.07918</v>
      </c>
      <c r="D34" s="8">
        <f>VLOOKUP($AT33,STData!$O$10:$Z$103,MATCH(AX$8,STData!$R$7:$Z$7,0)+3,FALSE)</f>
        <v>9370.079179999999</v>
      </c>
      <c r="E34" s="9">
        <f>VLOOKUP($AT33,STData!$O$10:$Z$103,MATCH(AY$8,STData!$R$7:$Z$7,0)+3,FALSE)</f>
        <v>10990.079179999999</v>
      </c>
      <c r="F34" s="7">
        <f>VLOOKUP($AT33,STData!$O$10:$Z$103,MATCH(AZ$8,STData!$R$7:$Z$7,0)+3,FALSE)</f>
        <v>6500.07918</v>
      </c>
      <c r="G34" s="8">
        <f>VLOOKUP($AT33,STData!$O$10:$Z$103,MATCH(BA$8,STData!$R$7:$Z$7,0)+3,FALSE)</f>
        <v>7480.07918</v>
      </c>
      <c r="H34" s="9">
        <f>VLOOKUP($AT33,STData!$O$10:$Z$103,MATCH(BB$8,STData!$R$7:$Z$7,0)+3,FALSE)</f>
        <v>8780.079179999999</v>
      </c>
      <c r="I34" s="7">
        <f>VLOOKUP($AT33,STData!$O$10:$Z$103,MATCH(BC$8,STData!$R$7:$Z$7,0)+3,FALSE)</f>
        <v>2680.07918</v>
      </c>
      <c r="J34" s="8">
        <f>VLOOKUP($AT33,STData!$O$10:$Z$103,MATCH(BD$8,STData!$R$7:$Z$7,0)+3,FALSE)</f>
        <v>3080.07918</v>
      </c>
      <c r="K34" s="9">
        <f>VLOOKUP($AT33,STData!$O$10:$Z$103,MATCH(BE$8,STData!$R$7:$Z$7,0)+3,FALSE)</f>
        <v>3610.07918</v>
      </c>
      <c r="L34" s="26"/>
      <c r="AT34">
        <f t="shared" si="0"/>
        <v>71</v>
      </c>
      <c r="AU34">
        <f>IF(ISNUMBER(VLOOKUP($AT34,STData!$O$10:$P$103,2,FALSE)),AT34,AU35)</f>
        <v>71</v>
      </c>
      <c r="AW34" t="s">
        <v>1254</v>
      </c>
      <c r="AZ34" t="s">
        <v>1225</v>
      </c>
    </row>
    <row r="35" spans="1:52" ht="12.75">
      <c r="A35" s="64" t="str">
        <f>VLOOKUP(AT34,STData!$O$10:$AA$103,13,FALSE)</f>
        <v>old</v>
      </c>
      <c r="B35" s="13" t="str">
        <f>VLOOKUP($AT34,STData!$O$10:$Z$103,3,FALSE)</f>
        <v>Peru</v>
      </c>
      <c r="C35" s="7">
        <f>VLOOKUP($AT34,STData!$O$10:$Z$103,MATCH(AW$8,STData!$R$7:$Z$7,0)+3,FALSE)</f>
        <v>8140.091240000001</v>
      </c>
      <c r="D35" s="8">
        <f>VLOOKUP($AT34,STData!$O$10:$Z$103,MATCH(AX$8,STData!$R$7:$Z$7,0)+3,FALSE)</f>
        <v>9370.09124</v>
      </c>
      <c r="E35" s="9">
        <f>VLOOKUP($AT34,STData!$O$10:$Z$103,MATCH(AY$8,STData!$R$7:$Z$7,0)+3,FALSE)</f>
        <v>10990.09124</v>
      </c>
      <c r="F35" s="7">
        <f>VLOOKUP($AT34,STData!$O$10:$Z$103,MATCH(AZ$8,STData!$R$7:$Z$7,0)+3,FALSE)</f>
        <v>6500.091240000001</v>
      </c>
      <c r="G35" s="8">
        <f>VLOOKUP($AT34,STData!$O$10:$Z$103,MATCH(BA$8,STData!$R$7:$Z$7,0)+3,FALSE)</f>
        <v>7480.091240000001</v>
      </c>
      <c r="H35" s="9">
        <f>VLOOKUP($AT34,STData!$O$10:$Z$103,MATCH(BB$8,STData!$R$7:$Z$7,0)+3,FALSE)</f>
        <v>8780.09124</v>
      </c>
      <c r="I35" s="7">
        <f>VLOOKUP($AT34,STData!$O$10:$Z$103,MATCH(BC$8,STData!$R$7:$Z$7,0)+3,FALSE)</f>
        <v>2680.0912399999997</v>
      </c>
      <c r="J35" s="8">
        <f>VLOOKUP($AT34,STData!$O$10:$Z$103,MATCH(BD$8,STData!$R$7:$Z$7,0)+3,FALSE)</f>
        <v>3080.0912399999997</v>
      </c>
      <c r="K35" s="9">
        <f>VLOOKUP($AT34,STData!$O$10:$Z$103,MATCH(BE$8,STData!$R$7:$Z$7,0)+3,FALSE)</f>
        <v>3610.0912399999997</v>
      </c>
      <c r="L35" s="26"/>
      <c r="AT35">
        <f t="shared" si="0"/>
        <v>70</v>
      </c>
      <c r="AU35">
        <f>IF(ISNUMBER(VLOOKUP($AT35,STData!$O$10:$P$103,2,FALSE)),AT35,AU36)</f>
        <v>70</v>
      </c>
      <c r="AW35" t="s">
        <v>1275</v>
      </c>
      <c r="AZ35" t="s">
        <v>1017</v>
      </c>
    </row>
    <row r="36" spans="1:52" ht="12.75">
      <c r="A36" s="64" t="str">
        <f>VLOOKUP(AT35,STData!$O$10:$AA$103,13,FALSE)</f>
        <v>old</v>
      </c>
      <c r="B36" s="13" t="str">
        <f>VLOOKUP($AT35,STData!$O$10:$Z$103,3,FALSE)</f>
        <v>Venezuela</v>
      </c>
      <c r="C36" s="7">
        <f>VLOOKUP($AT35,STData!$O$10:$Z$103,MATCH(AW$8,STData!$R$7:$Z$7,0)+3,FALSE)</f>
        <v>8140.097200000001</v>
      </c>
      <c r="D36" s="8">
        <f>VLOOKUP($AT35,STData!$O$10:$Z$103,MATCH(AX$8,STData!$R$7:$Z$7,0)+3,FALSE)</f>
        <v>9370.097199999998</v>
      </c>
      <c r="E36" s="9">
        <f>VLOOKUP($AT35,STData!$O$10:$Z$103,MATCH(AY$8,STData!$R$7:$Z$7,0)+3,FALSE)</f>
        <v>10990.097199999998</v>
      </c>
      <c r="F36" s="7">
        <f>VLOOKUP($AT35,STData!$O$10:$Z$103,MATCH(AZ$8,STData!$R$7:$Z$7,0)+3,FALSE)</f>
        <v>6500.097200000001</v>
      </c>
      <c r="G36" s="8">
        <f>VLOOKUP($AT35,STData!$O$10:$Z$103,MATCH(BA$8,STData!$R$7:$Z$7,0)+3,FALSE)</f>
        <v>7480.097200000001</v>
      </c>
      <c r="H36" s="9">
        <f>VLOOKUP($AT35,STData!$O$10:$Z$103,MATCH(BB$8,STData!$R$7:$Z$7,0)+3,FALSE)</f>
        <v>8780.097199999998</v>
      </c>
      <c r="I36" s="7">
        <f>VLOOKUP($AT35,STData!$O$10:$Z$103,MATCH(BC$8,STData!$R$7:$Z$7,0)+3,FALSE)</f>
        <v>2680.0971999999997</v>
      </c>
      <c r="J36" s="8">
        <f>VLOOKUP($AT35,STData!$O$10:$Z$103,MATCH(BD$8,STData!$R$7:$Z$7,0)+3,FALSE)</f>
        <v>3080.0971999999997</v>
      </c>
      <c r="K36" s="9">
        <f>VLOOKUP($AT35,STData!$O$10:$Z$103,MATCH(BE$8,STData!$R$7:$Z$7,0)+3,FALSE)</f>
        <v>3610.0971999999997</v>
      </c>
      <c r="L36" s="26"/>
      <c r="AT36">
        <f t="shared" si="0"/>
        <v>69</v>
      </c>
      <c r="AU36">
        <f>IF(ISNUMBER(VLOOKUP($AT36,STData!$O$10:$P$103,2,FALSE)),AT36,AU37)</f>
        <v>69</v>
      </c>
      <c r="AW36" t="s">
        <v>1255</v>
      </c>
      <c r="AZ36" t="s">
        <v>1238</v>
      </c>
    </row>
    <row r="37" spans="1:52" ht="12.75">
      <c r="A37" s="64" t="str">
        <f>VLOOKUP(AT36,STData!$O$10:$AA$103,13,FALSE)</f>
        <v>old</v>
      </c>
      <c r="B37" s="13" t="str">
        <f>VLOOKUP($AT36,STData!$O$10:$Z$103,3,FALSE)</f>
        <v>Romania</v>
      </c>
      <c r="C37" s="7">
        <f>VLOOKUP($AT36,STData!$O$10:$Z$103,MATCH(AW$8,STData!$R$7:$Z$7,0)+3,FALSE)</f>
        <v>8180.215515244982</v>
      </c>
      <c r="D37" s="8">
        <f>VLOOKUP($AT36,STData!$O$10:$Z$103,MATCH(AX$8,STData!$R$7:$Z$7,0)+3,FALSE)</f>
        <v>9409.02248366931</v>
      </c>
      <c r="E37" s="9">
        <f>VLOOKUP($AT36,STData!$O$10:$Z$103,MATCH(AY$8,STData!$R$7:$Z$7,0)+3,FALSE)</f>
        <v>11042.24693537253</v>
      </c>
      <c r="F37" s="7">
        <f>VLOOKUP($AT36,STData!$O$10:$Z$103,MATCH(AZ$8,STData!$R$7:$Z$7,0)+3,FALSE)</f>
        <v>5535.947355344531</v>
      </c>
      <c r="G37" s="8">
        <f>VLOOKUP($AT36,STData!$O$10:$Z$103,MATCH(BA$8,STData!$R$7:$Z$7,0)+3,FALSE)</f>
        <v>6375.8913590776165</v>
      </c>
      <c r="H37" s="9">
        <f>VLOOKUP($AT36,STData!$O$10:$Z$103,MATCH(BB$8,STData!$R$7:$Z$7,0)+3,FALSE)</f>
        <v>7480.2621788007455</v>
      </c>
      <c r="I37" s="7">
        <f>VLOOKUP($AT36,STData!$O$10:$Z$103,MATCH(BC$8,STData!$R$7:$Z$7,0)+3,FALSE)</f>
        <v>3062.778899908228</v>
      </c>
      <c r="J37" s="8">
        <f>VLOOKUP($AT36,STData!$O$10:$Z$103,MATCH(BD$8,STData!$R$7:$Z$7,0)+3,FALSE)</f>
        <v>3529.4144575377195</v>
      </c>
      <c r="K37" s="9">
        <f>VLOOKUP($AT36,STData!$O$10:$Z$103,MATCH(BE$8,STData!$R$7:$Z$7,0)+3,FALSE)</f>
        <v>4136.040682456058</v>
      </c>
      <c r="L37" s="26"/>
      <c r="AT37">
        <f t="shared" si="0"/>
        <v>68</v>
      </c>
      <c r="AU37">
        <f>IF(ISNUMBER(VLOOKUP($AT37,STData!$O$10:$P$103,2,FALSE)),AT37,AU38)</f>
        <v>68</v>
      </c>
      <c r="AW37" t="s">
        <v>1323</v>
      </c>
      <c r="AZ37" t="s">
        <v>1414</v>
      </c>
    </row>
    <row r="38" spans="1:52" ht="12.75">
      <c r="A38" s="64" t="str">
        <f>VLOOKUP(AT37,STData!$O$10:$AA$103,13,FALSE)</f>
        <v>old</v>
      </c>
      <c r="B38" s="13" t="str">
        <f>VLOOKUP($AT37,STData!$O$10:$Z$103,3,FALSE)</f>
        <v>Serbia Mont</v>
      </c>
      <c r="C38" s="7">
        <f>VLOOKUP($AT37,STData!$O$10:$Z$103,MATCH(AW$8,STData!$R$7:$Z$7,0)+3,FALSE)</f>
        <v>8180.215565244983</v>
      </c>
      <c r="D38" s="8">
        <f>VLOOKUP($AT37,STData!$O$10:$Z$103,MATCH(AX$8,STData!$R$7:$Z$7,0)+3,FALSE)</f>
        <v>9409.022533669311</v>
      </c>
      <c r="E38" s="9">
        <f>VLOOKUP($AT37,STData!$O$10:$Z$103,MATCH(AY$8,STData!$R$7:$Z$7,0)+3,FALSE)</f>
        <v>11042.24698537253</v>
      </c>
      <c r="F38" s="7">
        <f>VLOOKUP($AT37,STData!$O$10:$Z$103,MATCH(AZ$8,STData!$R$7:$Z$7,0)+3,FALSE)</f>
        <v>5535.947405344532</v>
      </c>
      <c r="G38" s="8">
        <f>VLOOKUP($AT37,STData!$O$10:$Z$103,MATCH(BA$8,STData!$R$7:$Z$7,0)+3,FALSE)</f>
        <v>6375.891409077617</v>
      </c>
      <c r="H38" s="9">
        <f>VLOOKUP($AT37,STData!$O$10:$Z$103,MATCH(BB$8,STData!$R$7:$Z$7,0)+3,FALSE)</f>
        <v>7480.262228800746</v>
      </c>
      <c r="I38" s="7">
        <f>VLOOKUP($AT37,STData!$O$10:$Z$103,MATCH(BC$8,STData!$R$7:$Z$7,0)+3,FALSE)</f>
        <v>3062.778949908228</v>
      </c>
      <c r="J38" s="8">
        <f>VLOOKUP($AT37,STData!$O$10:$Z$103,MATCH(BD$8,STData!$R$7:$Z$7,0)+3,FALSE)</f>
        <v>3529.414507537719</v>
      </c>
      <c r="K38" s="9">
        <f>VLOOKUP($AT37,STData!$O$10:$Z$103,MATCH(BE$8,STData!$R$7:$Z$7,0)+3,FALSE)</f>
        <v>4136.040732456058</v>
      </c>
      <c r="L38" s="26"/>
      <c r="AT38">
        <f t="shared" si="0"/>
        <v>67</v>
      </c>
      <c r="AU38">
        <f>IF(ISNUMBER(VLOOKUP($AT38,STData!$O$10:$P$103,2,FALSE)),AT38,AU39)</f>
        <v>67</v>
      </c>
      <c r="AW38" t="s">
        <v>1354</v>
      </c>
      <c r="AZ38" t="s">
        <v>1415</v>
      </c>
    </row>
    <row r="39" spans="1:52" ht="12.75">
      <c r="A39" s="64">
        <f>VLOOKUP(AT38,STData!$O$10:$AA$103,13,FALSE)</f>
        <v>39563</v>
      </c>
      <c r="B39" s="13" t="str">
        <f>VLOOKUP($AT38,STData!$O$10:$Z$103,3,FALSE)</f>
        <v>Mauritius</v>
      </c>
      <c r="C39" s="7">
        <f>VLOOKUP($AT38,STData!$O$10:$Z$103,MATCH(AW$8,STData!$R$7:$Z$7,0)+3,FALSE)</f>
        <v>8287.577951988891</v>
      </c>
      <c r="D39" s="8">
        <f>VLOOKUP($AT38,STData!$O$10:$Z$103,MATCH(AX$8,STData!$R$7:$Z$7,0)+3,FALSE)</f>
        <v>9535.169292148335</v>
      </c>
      <c r="E39" s="9">
        <f>VLOOKUP($AT38,STData!$O$10:$Z$103,MATCH(AY$8,STData!$R$7:$Z$7,0)+3,FALSE)</f>
        <v>11194.972065413156</v>
      </c>
      <c r="F39" s="7">
        <f>VLOOKUP($AT38,STData!$O$10:$Z$103,MATCH(AZ$8,STData!$R$7:$Z$7,0)+3,FALSE)</f>
        <v>6616.251394388862</v>
      </c>
      <c r="G39" s="8">
        <f>VLOOKUP($AT38,STData!$O$10:$Z$103,MATCH(BA$8,STData!$R$7:$Z$7,0)+3,FALSE)</f>
        <v>7623.732408481883</v>
      </c>
      <c r="H39" s="9">
        <f>VLOOKUP($AT38,STData!$O$10:$Z$103,MATCH(BB$8,STData!$R$7:$Z$7,0)+3,FALSE)</f>
        <v>8940.088625657989</v>
      </c>
      <c r="I39" s="7">
        <f>VLOOKUP($AT38,STData!$O$10:$Z$103,MATCH(BC$8,STData!$R$7:$Z$7,0)+3,FALSE)</f>
        <v>3662.0064856345643</v>
      </c>
      <c r="J39" s="8">
        <f>VLOOKUP($AT38,STData!$O$10:$Z$103,MATCH(BD$8,STData!$R$7:$Z$7,0)+3,FALSE)</f>
        <v>0.08787</v>
      </c>
      <c r="K39" s="9">
        <f>VLOOKUP($AT38,STData!$O$10:$Z$103,MATCH(BE$8,STData!$R$7:$Z$7,0)+3,FALSE)</f>
        <v>0.08787</v>
      </c>
      <c r="L39" s="26"/>
      <c r="AT39">
        <f t="shared" si="0"/>
        <v>66</v>
      </c>
      <c r="AU39">
        <f>IF(ISNUMBER(VLOOKUP($AT39,STData!$O$10:$P$103,2,FALSE)),AT39,AU40)</f>
        <v>66</v>
      </c>
      <c r="AW39" t="s">
        <v>1347</v>
      </c>
      <c r="AZ39" t="s">
        <v>1416</v>
      </c>
    </row>
    <row r="40" spans="1:52" ht="12.75">
      <c r="A40" s="64" t="str">
        <f>VLOOKUP(AT39,STData!$O$10:$AA$103,13,FALSE)</f>
        <v>old</v>
      </c>
      <c r="B40" s="13" t="str">
        <f>VLOOKUP($AT39,STData!$O$10:$Z$103,3,FALSE)</f>
        <v>Costa Rica</v>
      </c>
      <c r="C40" s="7">
        <f>VLOOKUP($AT39,STData!$O$10:$Z$103,MATCH(AW$8,STData!$R$7:$Z$7,0)+3,FALSE)</f>
        <v>8299.079249999999</v>
      </c>
      <c r="D40" s="8">
        <f>VLOOKUP($AT39,STData!$O$10:$Z$103,MATCH(AX$8,STData!$R$7:$Z$7,0)+3,FALSE)</f>
        <v>9547.079249999999</v>
      </c>
      <c r="E40" s="9">
        <f>VLOOKUP($AT39,STData!$O$10:$Z$103,MATCH(AY$8,STData!$R$7:$Z$7,0)+3,FALSE)</f>
        <v>11211.079249999999</v>
      </c>
      <c r="F40" s="7">
        <f>VLOOKUP($AT39,STData!$O$10:$Z$103,MATCH(AZ$8,STData!$R$7:$Z$7,0)+3,FALSE)</f>
        <v>6625.07925</v>
      </c>
      <c r="G40" s="8">
        <f>VLOOKUP($AT39,STData!$O$10:$Z$103,MATCH(BA$8,STData!$R$7:$Z$7,0)+3,FALSE)</f>
        <v>7613.07925</v>
      </c>
      <c r="H40" s="9">
        <f>VLOOKUP($AT39,STData!$O$10:$Z$103,MATCH(BB$8,STData!$R$7:$Z$7,0)+3,FALSE)</f>
        <v>8934.079249999999</v>
      </c>
      <c r="I40" s="7">
        <f>VLOOKUP($AT39,STData!$O$10:$Z$103,MATCH(BC$8,STData!$R$7:$Z$7,0)+3,FALSE)</f>
        <v>3671.0792500000002</v>
      </c>
      <c r="J40" s="8">
        <f>VLOOKUP($AT39,STData!$O$10:$Z$103,MATCH(BD$8,STData!$R$7:$Z$7,0)+3,FALSE)</f>
        <v>4222.07925</v>
      </c>
      <c r="K40" s="9">
        <f>VLOOKUP($AT39,STData!$O$10:$Z$103,MATCH(BE$8,STData!$R$7:$Z$7,0)+3,FALSE)</f>
        <v>4961.07925</v>
      </c>
      <c r="L40" s="26"/>
      <c r="AT40">
        <f t="shared" si="0"/>
        <v>65</v>
      </c>
      <c r="AU40">
        <f>IF(ISNUMBER(VLOOKUP($AT40,STData!$O$10:$P$103,2,FALSE)),AT40,AU41)</f>
        <v>65</v>
      </c>
      <c r="AW40" t="s">
        <v>1276</v>
      </c>
      <c r="AZ40" t="s">
        <v>1241</v>
      </c>
    </row>
    <row r="41" spans="1:52" ht="12.75">
      <c r="A41" s="64" t="str">
        <f>VLOOKUP(AT40,STData!$O$10:$AA$103,13,FALSE)</f>
        <v>old</v>
      </c>
      <c r="B41" s="13" t="str">
        <f>VLOOKUP($AT40,STData!$O$10:$Z$103,3,FALSE)</f>
        <v>El Salvador</v>
      </c>
      <c r="C41" s="7">
        <f>VLOOKUP($AT40,STData!$O$10:$Z$103,MATCH(AW$8,STData!$R$7:$Z$7,0)+3,FALSE)</f>
        <v>8299.080119999999</v>
      </c>
      <c r="D41" s="8">
        <f>VLOOKUP($AT40,STData!$O$10:$Z$103,MATCH(AX$8,STData!$R$7:$Z$7,0)+3,FALSE)</f>
        <v>9547.080119999999</v>
      </c>
      <c r="E41" s="9">
        <f>VLOOKUP($AT40,STData!$O$10:$Z$103,MATCH(AY$8,STData!$R$7:$Z$7,0)+3,FALSE)</f>
        <v>11211.080119999999</v>
      </c>
      <c r="F41" s="7">
        <f>VLOOKUP($AT40,STData!$O$10:$Z$103,MATCH(AZ$8,STData!$R$7:$Z$7,0)+3,FALSE)</f>
        <v>6625.0801200000005</v>
      </c>
      <c r="G41" s="8">
        <f>VLOOKUP($AT40,STData!$O$10:$Z$103,MATCH(BA$8,STData!$R$7:$Z$7,0)+3,FALSE)</f>
        <v>7613.0801200000005</v>
      </c>
      <c r="H41" s="9">
        <f>VLOOKUP($AT40,STData!$O$10:$Z$103,MATCH(BB$8,STData!$R$7:$Z$7,0)+3,FALSE)</f>
        <v>8934.080119999999</v>
      </c>
      <c r="I41" s="7">
        <f>VLOOKUP($AT40,STData!$O$10:$Z$103,MATCH(BC$8,STData!$R$7:$Z$7,0)+3,FALSE)</f>
        <v>3671.08012</v>
      </c>
      <c r="J41" s="8">
        <f>VLOOKUP($AT40,STData!$O$10:$Z$103,MATCH(BD$8,STData!$R$7:$Z$7,0)+3,FALSE)</f>
        <v>4222.0801200000005</v>
      </c>
      <c r="K41" s="9">
        <f>VLOOKUP($AT40,STData!$O$10:$Z$103,MATCH(BE$8,STData!$R$7:$Z$7,0)+3,FALSE)</f>
        <v>4961.0801200000005</v>
      </c>
      <c r="L41" s="26"/>
      <c r="AT41">
        <f t="shared" si="0"/>
        <v>64</v>
      </c>
      <c r="AU41">
        <f>IF(ISNUMBER(VLOOKUP($AT41,STData!$O$10:$P$103,2,FALSE)),AT41,AU42)</f>
        <v>64</v>
      </c>
      <c r="AW41" t="s">
        <v>1348</v>
      </c>
      <c r="AZ41" t="s">
        <v>1418</v>
      </c>
    </row>
    <row r="42" spans="1:52" ht="12.75">
      <c r="A42" s="64" t="str">
        <f>VLOOKUP(AT41,STData!$O$10:$AA$103,13,FALSE)</f>
        <v>old</v>
      </c>
      <c r="B42" s="13" t="str">
        <f>VLOOKUP($AT41,STData!$O$10:$Z$103,3,FALSE)</f>
        <v>Guatemala</v>
      </c>
      <c r="C42" s="7">
        <f>VLOOKUP($AT41,STData!$O$10:$Z$103,MATCH(AW$8,STData!$R$7:$Z$7,0)+3,FALSE)</f>
        <v>8299.083669999998</v>
      </c>
      <c r="D42" s="8">
        <f>VLOOKUP($AT41,STData!$O$10:$Z$103,MATCH(AX$8,STData!$R$7:$Z$7,0)+3,FALSE)</f>
        <v>9547.083669999998</v>
      </c>
      <c r="E42" s="9">
        <f>VLOOKUP($AT41,STData!$O$10:$Z$103,MATCH(AY$8,STData!$R$7:$Z$7,0)+3,FALSE)</f>
        <v>11211.083669999998</v>
      </c>
      <c r="F42" s="7">
        <f>VLOOKUP($AT41,STData!$O$10:$Z$103,MATCH(AZ$8,STData!$R$7:$Z$7,0)+3,FALSE)</f>
        <v>6625.08367</v>
      </c>
      <c r="G42" s="8">
        <f>VLOOKUP($AT41,STData!$O$10:$Z$103,MATCH(BA$8,STData!$R$7:$Z$7,0)+3,FALSE)</f>
        <v>7613.08367</v>
      </c>
      <c r="H42" s="9">
        <f>VLOOKUP($AT41,STData!$O$10:$Z$103,MATCH(BB$8,STData!$R$7:$Z$7,0)+3,FALSE)</f>
        <v>8934.083669999998</v>
      </c>
      <c r="I42" s="7">
        <f>VLOOKUP($AT41,STData!$O$10:$Z$103,MATCH(BC$8,STData!$R$7:$Z$7,0)+3,FALSE)</f>
        <v>3671.08367</v>
      </c>
      <c r="J42" s="8">
        <f>VLOOKUP($AT41,STData!$O$10:$Z$103,MATCH(BD$8,STData!$R$7:$Z$7,0)+3,FALSE)</f>
        <v>4222.08367</v>
      </c>
      <c r="K42" s="9">
        <f>VLOOKUP($AT41,STData!$O$10:$Z$103,MATCH(BE$8,STData!$R$7:$Z$7,0)+3,FALSE)</f>
        <v>4961.08367</v>
      </c>
      <c r="L42" s="26"/>
      <c r="AT42">
        <f t="shared" si="0"/>
        <v>63</v>
      </c>
      <c r="AU42">
        <f>IF(ISNUMBER(VLOOKUP($AT42,STData!$O$10:$P$103,2,FALSE)),AT42,AU43)</f>
        <v>63</v>
      </c>
      <c r="AW42" t="s">
        <v>1349</v>
      </c>
      <c r="AZ42" t="s">
        <v>1203</v>
      </c>
    </row>
    <row r="43" spans="1:52" ht="12.75">
      <c r="A43" s="64" t="str">
        <f>VLOOKUP(AT42,STData!$O$10:$AA$103,13,FALSE)</f>
        <v>old</v>
      </c>
      <c r="B43" s="13" t="str">
        <f>VLOOKUP($AT42,STData!$O$10:$Z$103,3,FALSE)</f>
        <v>Mexico</v>
      </c>
      <c r="C43" s="7">
        <f>VLOOKUP($AT42,STData!$O$10:$Z$103,MATCH(AW$8,STData!$R$7:$Z$7,0)+3,FALSE)</f>
        <v>8300.0883</v>
      </c>
      <c r="D43" s="8">
        <f>VLOOKUP($AT42,STData!$O$10:$Z$103,MATCH(AX$8,STData!$R$7:$Z$7,0)+3,FALSE)</f>
        <v>9550.0883</v>
      </c>
      <c r="E43" s="9">
        <f>VLOOKUP($AT42,STData!$O$10:$Z$103,MATCH(AY$8,STData!$R$7:$Z$7,0)+3,FALSE)</f>
        <v>11210.0883</v>
      </c>
      <c r="F43" s="7">
        <f>VLOOKUP($AT42,STData!$O$10:$Z$103,MATCH(AZ$8,STData!$R$7:$Z$7,0)+3,FALSE)</f>
        <v>6600.0883</v>
      </c>
      <c r="G43" s="8">
        <f>VLOOKUP($AT42,STData!$O$10:$Z$103,MATCH(BA$8,STData!$R$7:$Z$7,0)+3,FALSE)</f>
        <v>7590.0883</v>
      </c>
      <c r="H43" s="9">
        <f>VLOOKUP($AT42,STData!$O$10:$Z$103,MATCH(BB$8,STData!$R$7:$Z$7,0)+3,FALSE)</f>
        <v>8910.0883</v>
      </c>
      <c r="I43" s="7">
        <f>VLOOKUP($AT42,STData!$O$10:$Z$103,MATCH(BC$8,STData!$R$7:$Z$7,0)+3,FALSE)</f>
        <v>3700.0883000000003</v>
      </c>
      <c r="J43" s="8">
        <f>VLOOKUP($AT42,STData!$O$10:$Z$103,MATCH(BD$8,STData!$R$7:$Z$7,0)+3,FALSE)</f>
        <v>4250.0883</v>
      </c>
      <c r="K43" s="9">
        <f>VLOOKUP($AT42,STData!$O$10:$Z$103,MATCH(BE$8,STData!$R$7:$Z$7,0)+3,FALSE)</f>
        <v>4990.0883</v>
      </c>
      <c r="L43" s="26"/>
      <c r="AT43">
        <f t="shared" si="0"/>
        <v>62</v>
      </c>
      <c r="AU43">
        <f>IF(ISNUMBER(VLOOKUP($AT43,STData!$O$10:$P$103,2,FALSE)),AT43,AU44)</f>
        <v>62</v>
      </c>
      <c r="AW43" t="s">
        <v>1256</v>
      </c>
      <c r="AZ43" t="s">
        <v>1420</v>
      </c>
    </row>
    <row r="44" spans="1:52" ht="12.75">
      <c r="A44" s="64">
        <f>VLOOKUP(AT43,STData!$O$10:$AA$103,13,FALSE)</f>
        <v>39563</v>
      </c>
      <c r="B44" s="13" t="str">
        <f>VLOOKUP($AT43,STData!$O$10:$Z$103,3,FALSE)</f>
        <v>Japan</v>
      </c>
      <c r="C44" s="7">
        <f>VLOOKUP($AT43,STData!$O$10:$Z$103,MATCH(AW$8,STData!$R$7:$Z$7,0)+3,FALSE)</f>
        <v>8328.689634433686</v>
      </c>
      <c r="D44" s="8">
        <f>VLOOKUP($AT43,STData!$O$10:$Z$103,MATCH(AX$8,STData!$R$7:$Z$7,0)+3,FALSE)</f>
        <v>9578.942089256294</v>
      </c>
      <c r="E44" s="9">
        <f>VLOOKUP($AT43,STData!$O$10:$Z$103,MATCH(AY$8,STData!$R$7:$Z$7,0)+3,FALSE)</f>
        <v>11252.356913403479</v>
      </c>
      <c r="F44" s="7">
        <f>VLOOKUP($AT43,STData!$O$10:$Z$103,MATCH(AZ$8,STData!$R$7:$Z$7,0)+3,FALSE)</f>
        <v>5722.3941324573225</v>
      </c>
      <c r="G44" s="8">
        <f>VLOOKUP($AT43,STData!$O$10:$Z$103,MATCH(BA$8,STData!$R$7:$Z$7,0)+3,FALSE)</f>
        <v>6587.95352425759</v>
      </c>
      <c r="H44" s="9">
        <f>VLOOKUP($AT43,STData!$O$10:$Z$103,MATCH(BB$8,STData!$R$7:$Z$7,0)+3,FALSE)</f>
        <v>7732.415386749055</v>
      </c>
      <c r="I44" s="7">
        <f>VLOOKUP($AT43,STData!$O$10:$Z$103,MATCH(BC$8,STData!$R$7:$Z$7,0)+3,FALSE)</f>
        <v>3221.8892228121067</v>
      </c>
      <c r="J44" s="8">
        <f>VLOOKUP($AT43,STData!$O$10:$Z$103,MATCH(BD$8,STData!$R$7:$Z$7,0)+3,FALSE)</f>
        <v>0.08481999999999999</v>
      </c>
      <c r="K44" s="9">
        <f>VLOOKUP($AT43,STData!$O$10:$Z$103,MATCH(BE$8,STData!$R$7:$Z$7,0)+3,FALSE)</f>
        <v>0.08481999999999999</v>
      </c>
      <c r="L44" s="26"/>
      <c r="AT44">
        <f t="shared" si="0"/>
        <v>61</v>
      </c>
      <c r="AU44">
        <f>IF(ISNUMBER(VLOOKUP($AT44,STData!$O$10:$P$103,2,FALSE)),AT44,AU45)</f>
        <v>61</v>
      </c>
      <c r="AW44" t="s">
        <v>1324</v>
      </c>
      <c r="AZ44" t="s">
        <v>1242</v>
      </c>
    </row>
    <row r="45" spans="1:52" ht="12.75">
      <c r="A45" s="64">
        <f>VLOOKUP(AT44,STData!$O$10:$AA$103,13,FALSE)</f>
        <v>39563</v>
      </c>
      <c r="B45" s="13" t="str">
        <f>VLOOKUP($AT44,STData!$O$10:$Z$103,3,FALSE)</f>
        <v>Sweden</v>
      </c>
      <c r="C45" s="7">
        <f>VLOOKUP($AT44,STData!$O$10:$Z$103,MATCH(AW$8,STData!$R$7:$Z$7,0)+3,FALSE)</f>
        <v>8470.145509389546</v>
      </c>
      <c r="D45" s="8">
        <f>VLOOKUP($AT44,STData!$O$10:$Z$103,MATCH(AX$8,STData!$R$7:$Z$7,0)+3,FALSE)</f>
        <v>9740.818833543952</v>
      </c>
      <c r="E45" s="9">
        <f>VLOOKUP($AT44,STData!$O$10:$Z$103,MATCH(AY$8,STData!$R$7:$Z$7,0)+3,FALSE)</f>
        <v>11436.155827389646</v>
      </c>
      <c r="F45" s="7">
        <f>VLOOKUP($AT44,STData!$O$10:$Z$103,MATCH(AZ$8,STData!$R$7:$Z$7,0)+3,FALSE)</f>
        <v>5618.595321110926</v>
      </c>
      <c r="G45" s="8">
        <f>VLOOKUP($AT44,STData!$O$10:$Z$103,MATCH(BA$8,STData!$R$7:$Z$7,0)+3,FALSE)</f>
        <v>6462.946133114311</v>
      </c>
      <c r="H45" s="9">
        <f>VLOOKUP($AT44,STData!$O$10:$Z$103,MATCH(BB$8,STData!$R$7:$Z$7,0)+3,FALSE)</f>
        <v>7585.982478352604</v>
      </c>
      <c r="I45" s="7">
        <f>VLOOKUP($AT44,STData!$O$10:$Z$103,MATCH(BC$8,STData!$R$7:$Z$7,0)+3,FALSE)</f>
        <v>3010.8949744128527</v>
      </c>
      <c r="J45" s="8">
        <f>VLOOKUP($AT44,STData!$O$10:$Z$103,MATCH(BD$8,STData!$R$7:$Z$7,0)+3,FALSE)</f>
        <v>0.09591000000000001</v>
      </c>
      <c r="K45" s="9">
        <f>VLOOKUP($AT44,STData!$O$10:$Z$103,MATCH(BE$8,STData!$R$7:$Z$7,0)+3,FALSE)</f>
        <v>0.09591000000000001</v>
      </c>
      <c r="L45" s="26"/>
      <c r="AT45">
        <f t="shared" si="0"/>
        <v>60</v>
      </c>
      <c r="AU45">
        <f>IF(ISNUMBER(VLOOKUP($AT45,STData!$O$10:$P$103,2,FALSE)),AT45,AU46)</f>
        <v>60</v>
      </c>
      <c r="AW45" t="s">
        <v>1277</v>
      </c>
      <c r="AZ45" t="s">
        <v>1239</v>
      </c>
    </row>
    <row r="46" spans="1:52" ht="12.75">
      <c r="A46" s="64" t="str">
        <f>VLOOKUP(AT45,STData!$O$10:$AA$103,13,FALSE)</f>
        <v>old</v>
      </c>
      <c r="B46" s="13" t="str">
        <f>VLOOKUP($AT45,STData!$O$10:$Z$103,3,FALSE)</f>
        <v>New Caledonia</v>
      </c>
      <c r="C46" s="7">
        <f>VLOOKUP($AT45,STData!$O$10:$Z$103,MATCH(AW$8,STData!$R$7:$Z$7,0)+3,FALSE)</f>
        <v>8488.606337718189</v>
      </c>
      <c r="D46" s="8">
        <f>VLOOKUP($AT45,STData!$O$10:$Z$103,MATCH(AX$8,STData!$R$7:$Z$7,0)+3,FALSE)</f>
        <v>9762.205186210047</v>
      </c>
      <c r="E46" s="9">
        <f>VLOOKUP($AT45,STData!$O$10:$Z$103,MATCH(AY$8,STData!$R$7:$Z$7,0)+3,FALSE)</f>
        <v>11459.908595753684</v>
      </c>
      <c r="F46" s="7">
        <f>VLOOKUP($AT45,STData!$O$10:$Z$103,MATCH(AZ$8,STData!$R$7:$Z$7,0)+3,FALSE)</f>
        <v>6896.286485769236</v>
      </c>
      <c r="G46" s="8">
        <f>VLOOKUP($AT45,STData!$O$10:$Z$103,MATCH(BA$8,STData!$R$7:$Z$7,0)+3,FALSE)</f>
        <v>7930.844581668273</v>
      </c>
      <c r="H46" s="9">
        <f>VLOOKUP($AT45,STData!$O$10:$Z$103,MATCH(BB$8,STData!$R$7:$Z$7,0)+3,FALSE)</f>
        <v>9311.112153091337</v>
      </c>
      <c r="I46" s="7">
        <f>VLOOKUP($AT45,STData!$O$10:$Z$103,MATCH(BC$8,STData!$R$7:$Z$7,0)+3,FALSE)</f>
        <v>2954.684398660729</v>
      </c>
      <c r="J46" s="8">
        <f>VLOOKUP($AT45,STData!$O$10:$Z$103,MATCH(BD$8,STData!$R$7:$Z$7,0)+3,FALSE)</f>
        <v>3396.781274423796</v>
      </c>
      <c r="K46" s="9">
        <f>VLOOKUP($AT45,STData!$O$10:$Z$103,MATCH(BE$8,STData!$R$7:$Z$7,0)+3,FALSE)</f>
        <v>3989.2424945597663</v>
      </c>
      <c r="L46" s="26"/>
      <c r="AT46">
        <f t="shared" si="0"/>
        <v>59</v>
      </c>
      <c r="AU46">
        <f>IF(ISNUMBER(VLOOKUP($AT46,STData!$O$10:$P$103,2,FALSE)),AT46,AU47)</f>
        <v>59</v>
      </c>
      <c r="AW46" t="s">
        <v>1166</v>
      </c>
      <c r="AZ46" t="s">
        <v>1393</v>
      </c>
    </row>
    <row r="47" spans="1:52" ht="12.75">
      <c r="A47" s="64">
        <f>VLOOKUP(AT46,STData!$O$10:$AA$103,13,FALSE)</f>
        <v>39563</v>
      </c>
      <c r="B47" s="13" t="str">
        <f>VLOOKUP($AT46,STData!$O$10:$Z$103,3,FALSE)</f>
        <v>Sri Lanka</v>
      </c>
      <c r="C47" s="7">
        <f>VLOOKUP($AT46,STData!$O$10:$Z$103,MATCH(AW$8,STData!$R$7:$Z$7,0)+3,FALSE)</f>
        <v>8898.163776947637</v>
      </c>
      <c r="D47" s="8">
        <f>VLOOKUP($AT46,STData!$O$10:$Z$103,MATCH(AX$8,STData!$R$7:$Z$7,0)+3,FALSE)</f>
        <v>10234.171120498086</v>
      </c>
      <c r="E47" s="9">
        <f>VLOOKUP($AT46,STData!$O$10:$Z$103,MATCH(AY$8,STData!$R$7:$Z$7,0)+3,FALSE)</f>
        <v>12014.183891890167</v>
      </c>
      <c r="F47" s="7">
        <f>VLOOKUP($AT46,STData!$O$10:$Z$103,MATCH(AZ$8,STData!$R$7:$Z$7,0)+3,FALSE)</f>
        <v>6162.2921294380585</v>
      </c>
      <c r="G47" s="8">
        <f>VLOOKUP($AT46,STData!$O$10:$Z$103,MATCH(BA$8,STData!$R$7:$Z$7,0)+3,FALSE)</f>
        <v>7095.202410408684</v>
      </c>
      <c r="H47" s="9">
        <f>VLOOKUP($AT46,STData!$O$10:$Z$103,MATCH(BB$8,STData!$R$7:$Z$7,0)+3,FALSE)</f>
        <v>8321.455603256705</v>
      </c>
      <c r="I47" s="7">
        <f>VLOOKUP($AT46,STData!$O$10:$Z$103,MATCH(BC$8,STData!$R$7:$Z$7,0)+3,FALSE)</f>
        <v>3105.1401498722857</v>
      </c>
      <c r="J47" s="8">
        <f>VLOOKUP($AT46,STData!$O$10:$Z$103,MATCH(BD$8,STData!$R$7:$Z$7,0)+3,FALSE)</f>
        <v>3568.103112835249</v>
      </c>
      <c r="K47" s="9">
        <f>VLOOKUP($AT46,STData!$O$10:$Z$103,MATCH(BE$8,STData!$R$7:$Z$7,0)+3,FALSE)</f>
        <v>4189.710711813537</v>
      </c>
      <c r="L47" s="26"/>
      <c r="AT47">
        <f t="shared" si="0"/>
        <v>58</v>
      </c>
      <c r="AU47">
        <f>IF(ISNUMBER(VLOOKUP($AT47,STData!$O$10:$P$103,2,FALSE)),AT47,AU48)</f>
        <v>58</v>
      </c>
      <c r="AW47" t="s">
        <v>1350</v>
      </c>
      <c r="AZ47" t="s">
        <v>1421</v>
      </c>
    </row>
    <row r="48" spans="1:52" ht="12.75">
      <c r="A48" s="64">
        <f>VLOOKUP(AT47,STData!$O$10:$AA$103,13,FALSE)</f>
        <v>39563</v>
      </c>
      <c r="B48" s="13" t="str">
        <f>VLOOKUP($AT47,STData!$O$10:$Z$103,3,FALSE)</f>
        <v>Indonesia</v>
      </c>
      <c r="C48" s="7">
        <f>VLOOKUP($AT47,STData!$O$10:$Z$103,MATCH(AW$8,STData!$R$7:$Z$7,0)+3,FALSE)</f>
        <v>9133.170500000002</v>
      </c>
      <c r="D48" s="8">
        <f>VLOOKUP($AT47,STData!$O$10:$Z$103,MATCH(AX$8,STData!$R$7:$Z$7,0)+3,FALSE)</f>
        <v>10505.507620000002</v>
      </c>
      <c r="E48" s="9">
        <f>VLOOKUP($AT47,STData!$O$10:$Z$103,MATCH(AY$8,STData!$R$7:$Z$7,0)+3,FALSE)</f>
        <v>12335.294040000002</v>
      </c>
      <c r="F48" s="7">
        <f>VLOOKUP($AT47,STData!$O$10:$Z$103,MATCH(AZ$8,STData!$R$7:$Z$7,0)+3,FALSE)</f>
        <v>5623.116260000002</v>
      </c>
      <c r="G48" s="8">
        <f>VLOOKUP($AT47,STData!$O$10:$Z$103,MATCH(BA$8,STData!$R$7:$Z$7,0)+3,FALSE)</f>
        <v>6494.442100000001</v>
      </c>
      <c r="H48" s="9">
        <f>VLOOKUP($AT47,STData!$O$10:$Z$103,MATCH(BB$8,STData!$R$7:$Z$7,0)+3,FALSE)</f>
        <v>7623.205120000001</v>
      </c>
      <c r="I48" s="7">
        <f>VLOOKUP($AT47,STData!$O$10:$Z$103,MATCH(BC$8,STData!$R$7:$Z$7,0)+3,FALSE)</f>
        <v>2860.6119000000003</v>
      </c>
      <c r="J48" s="8">
        <f>VLOOKUP($AT47,STData!$O$10:$Z$103,MATCH(BD$8,STData!$R$7:$Z$7,0)+3,FALSE)</f>
        <v>3286.3787800000005</v>
      </c>
      <c r="K48" s="9">
        <f>VLOOKUP($AT47,STData!$O$10:$Z$103,MATCH(BE$8,STData!$R$7:$Z$7,0)+3,FALSE)</f>
        <v>3860.6617200000005</v>
      </c>
      <c r="L48" s="26"/>
      <c r="AT48">
        <f t="shared" si="0"/>
        <v>57</v>
      </c>
      <c r="AU48">
        <f>IF(ISNUMBER(VLOOKUP($AT48,STData!$O$10:$P$103,2,FALSE)),AT48,AU49)</f>
        <v>57</v>
      </c>
      <c r="AW48" t="s">
        <v>1281</v>
      </c>
      <c r="AZ48" t="s">
        <v>1394</v>
      </c>
    </row>
    <row r="49" spans="1:52" ht="12.75">
      <c r="A49" s="64">
        <f>VLOOKUP(AT48,STData!$O$10:$AA$103,13,FALSE)</f>
        <v>39563</v>
      </c>
      <c r="B49" s="13" t="str">
        <f>VLOOKUP($AT48,STData!$O$10:$Z$103,3,FALSE)</f>
        <v>Tonga</v>
      </c>
      <c r="C49" s="7">
        <f>VLOOKUP($AT48,STData!$O$10:$Z$103,MATCH(AW$8,STData!$R$7:$Z$7,0)+3,FALSE)</f>
        <v>9232.805527043103</v>
      </c>
      <c r="D49" s="8">
        <f>VLOOKUP($AT48,STData!$O$10:$Z$103,MATCH(AX$8,STData!$R$7:$Z$7,0)+3,FALSE)</f>
        <v>10617.810292915326</v>
      </c>
      <c r="E49" s="9">
        <f>VLOOKUP($AT48,STData!$O$10:$Z$103,MATCH(AY$8,STData!$R$7:$Z$7,0)+3,FALSE)</f>
        <v>12213.320044509608</v>
      </c>
      <c r="F49" s="7">
        <f>VLOOKUP($AT48,STData!$O$10:$Z$103,MATCH(AZ$8,STData!$R$7:$Z$7,0)+3,FALSE)</f>
        <v>6372.298524801324</v>
      </c>
      <c r="G49" s="8">
        <f>VLOOKUP($AT48,STData!$O$10:$Z$103,MATCH(BA$8,STData!$R$7:$Z$7,0)+3,FALSE)</f>
        <v>7328.423973968796</v>
      </c>
      <c r="H49" s="9">
        <f>VLOOKUP($AT48,STData!$O$10:$Z$103,MATCH(BB$8,STData!$R$7:$Z$7,0)+3,FALSE)</f>
        <v>8429.148642300486</v>
      </c>
      <c r="I49" s="7">
        <f>VLOOKUP($AT48,STData!$O$10:$Z$103,MATCH(BC$8,STData!$R$7:$Z$7,0)+3,FALSE)</f>
        <v>2564.5190868102886</v>
      </c>
      <c r="J49" s="8">
        <f>VLOOKUP($AT48,STData!$O$10:$Z$103,MATCH(BD$8,STData!$R$7:$Z$7,0)+3,FALSE)</f>
        <v>2952.084340896692</v>
      </c>
      <c r="K49" s="9">
        <f>VLOOKUP($AT48,STData!$O$10:$Z$103,MATCH(BE$8,STData!$R$7:$Z$7,0)+3,FALSE)</f>
        <v>3465.559119153298</v>
      </c>
      <c r="L49" s="26"/>
      <c r="AT49">
        <f t="shared" si="0"/>
        <v>56</v>
      </c>
      <c r="AU49">
        <f>IF(ISNUMBER(VLOOKUP($AT49,STData!$O$10:$P$103,2,FALSE)),AT49,AU50)</f>
        <v>56</v>
      </c>
      <c r="AW49" t="s">
        <v>1327</v>
      </c>
      <c r="AZ49" t="s">
        <v>1395</v>
      </c>
    </row>
    <row r="50" spans="1:52" ht="12.75">
      <c r="A50" s="64">
        <f>VLOOKUP(AT49,STData!$O$10:$AA$103,13,FALSE)</f>
        <v>39563</v>
      </c>
      <c r="B50" s="13" t="str">
        <f>VLOOKUP($AT49,STData!$O$10:$Z$103,3,FALSE)</f>
        <v>Philippines</v>
      </c>
      <c r="C50" s="7">
        <f>VLOOKUP($AT49,STData!$O$10:$Z$103,MATCH(AW$8,STData!$R$7:$Z$7,0)+3,FALSE)</f>
        <v>9398.09145</v>
      </c>
      <c r="D50" s="8">
        <f>VLOOKUP($AT49,STData!$O$10:$Z$103,MATCH(AX$8,STData!$R$7:$Z$7,0)+3,FALSE)</f>
        <v>10812.09145</v>
      </c>
      <c r="E50" s="9">
        <f>VLOOKUP($AT49,STData!$O$10:$Z$103,MATCH(AY$8,STData!$R$7:$Z$7,0)+3,FALSE)</f>
        <v>12689.09145</v>
      </c>
      <c r="F50" s="7">
        <f>VLOOKUP($AT49,STData!$O$10:$Z$103,MATCH(AZ$8,STData!$R$7:$Z$7,0)+3,FALSE)</f>
        <v>5679.09145</v>
      </c>
      <c r="G50" s="8">
        <f>VLOOKUP($AT49,STData!$O$10:$Z$103,MATCH(BA$8,STData!$R$7:$Z$7,0)+3,FALSE)</f>
        <v>6551.09145</v>
      </c>
      <c r="H50" s="9">
        <f>VLOOKUP($AT49,STData!$O$10:$Z$103,MATCH(BB$8,STData!$R$7:$Z$7,0)+3,FALSE)</f>
        <v>7695.09145</v>
      </c>
      <c r="I50" s="7">
        <f>VLOOKUP($AT49,STData!$O$10:$Z$103,MATCH(BC$8,STData!$R$7:$Z$7,0)+3,FALSE)</f>
        <v>2889.09145</v>
      </c>
      <c r="J50" s="8">
        <f>VLOOKUP($AT49,STData!$O$10:$Z$103,MATCH(BD$8,STData!$R$7:$Z$7,0)+3,FALSE)</f>
        <v>3319.09145</v>
      </c>
      <c r="K50" s="9">
        <f>VLOOKUP($AT49,STData!$O$10:$Z$103,MATCH(BE$8,STData!$R$7:$Z$7,0)+3,FALSE)</f>
        <v>3899.09145</v>
      </c>
      <c r="L50" s="26"/>
      <c r="AT50">
        <f t="shared" si="0"/>
        <v>55</v>
      </c>
      <c r="AU50">
        <f>IF(ISNUMBER(VLOOKUP($AT50,STData!$O$10:$P$103,2,FALSE)),AT50,AU51)</f>
        <v>55</v>
      </c>
      <c r="AW50" t="s">
        <v>1167</v>
      </c>
      <c r="AZ50" t="s">
        <v>1422</v>
      </c>
    </row>
    <row r="51" spans="1:52" ht="12.75">
      <c r="A51" s="64" t="str">
        <f>VLOOKUP(AT50,STData!$O$10:$AA$103,13,FALSE)</f>
        <v>old</v>
      </c>
      <c r="B51" s="13" t="str">
        <f>VLOOKUP($AT50,STData!$O$10:$Z$103,3,FALSE)</f>
        <v>Polynesia</v>
      </c>
      <c r="C51" s="7">
        <f>VLOOKUP($AT50,STData!$O$10:$Z$103,MATCH(AW$8,STData!$R$7:$Z$7,0)+3,FALSE)</f>
        <v>9497.464016886815</v>
      </c>
      <c r="D51" s="8">
        <f>VLOOKUP($AT50,STData!$O$10:$Z$103,MATCH(AX$8,STData!$R$7:$Z$7,0)+3,FALSE)</f>
        <v>10821.184313502974</v>
      </c>
      <c r="E51" s="9">
        <f>VLOOKUP($AT50,STData!$O$10:$Z$103,MATCH(AY$8,STData!$R$7:$Z$7,0)+3,FALSE)</f>
        <v>12587.001485882201</v>
      </c>
      <c r="F51" s="7">
        <f>VLOOKUP($AT50,STData!$O$10:$Z$103,MATCH(AZ$8,STData!$R$7:$Z$7,0)+3,FALSE)</f>
        <v>7172.599923121152</v>
      </c>
      <c r="G51" s="8">
        <f>VLOOKUP($AT50,STData!$O$10:$Z$103,MATCH(BA$8,STData!$R$7:$Z$7,0)+3,FALSE)</f>
        <v>8248.283309788847</v>
      </c>
      <c r="H51" s="9">
        <f>VLOOKUP($AT50,STData!$O$10:$Z$103,MATCH(BB$8,STData!$R$7:$Z$7,0)+3,FALSE)</f>
        <v>9683.812990682294</v>
      </c>
      <c r="I51" s="7">
        <f>VLOOKUP($AT50,STData!$O$10:$Z$103,MATCH(BC$8,STData!$R$7:$Z$7,0)+3,FALSE)</f>
        <v>3072.922499620619</v>
      </c>
      <c r="J51" s="8">
        <f>VLOOKUP($AT50,STData!$O$10:$Z$103,MATCH(BD$8,STData!$R$7:$Z$7,0)+3,FALSE)</f>
        <v>3533.011690094974</v>
      </c>
      <c r="K51" s="9">
        <f>VLOOKUP($AT50,STData!$O$10:$Z$103,MATCH(BE$8,STData!$R$7:$Z$7,0)+3,FALSE)</f>
        <v>4149.891051624834</v>
      </c>
      <c r="L51" s="26"/>
      <c r="AT51">
        <f t="shared" si="0"/>
        <v>54</v>
      </c>
      <c r="AU51">
        <f>IF(ISNUMBER(VLOOKUP($AT51,STData!$O$10:$P$103,2,FALSE)),AT51,AU52)</f>
        <v>54</v>
      </c>
      <c r="AW51" t="s">
        <v>1279</v>
      </c>
      <c r="AZ51" t="s">
        <v>1019</v>
      </c>
    </row>
    <row r="52" spans="1:52" ht="12.75">
      <c r="A52" s="64" t="str">
        <f>VLOOKUP(AT51,STData!$O$10:$AA$103,13,FALSE)</f>
        <v>old</v>
      </c>
      <c r="B52" s="13" t="str">
        <f>VLOOKUP($AT51,STData!$O$10:$Z$103,3,FALSE)</f>
        <v>Lithuania</v>
      </c>
      <c r="C52" s="7">
        <f>VLOOKUP($AT51,STData!$O$10:$Z$103,MATCH(AW$8,STData!$R$7:$Z$7,0)+3,FALSE)</f>
        <v>9545.480948711198</v>
      </c>
      <c r="D52" s="8">
        <f>VLOOKUP($AT51,STData!$O$10:$Z$103,MATCH(AX$8,STData!$R$7:$Z$7,0)+3,FALSE)</f>
        <v>10982.972525908988</v>
      </c>
      <c r="E52" s="9">
        <f>VLOOKUP($AT51,STData!$O$10:$Z$103,MATCH(AY$8,STData!$R$7:$Z$7,0)+3,FALSE)</f>
        <v>12892.141026874802</v>
      </c>
      <c r="F52" s="7">
        <f>VLOOKUP($AT51,STData!$O$10:$Z$103,MATCH(AZ$8,STData!$R$7:$Z$7,0)+3,FALSE)</f>
        <v>6809.754790856655</v>
      </c>
      <c r="G52" s="8">
        <f>VLOOKUP($AT51,STData!$O$10:$Z$103,MATCH(BA$8,STData!$R$7:$Z$7,0)+3,FALSE)</f>
        <v>7838.459700788823</v>
      </c>
      <c r="H52" s="9">
        <f>VLOOKUP($AT51,STData!$O$10:$Z$103,MATCH(BB$8,STData!$R$7:$Z$7,0)+3,FALSE)</f>
        <v>9195.092376769237</v>
      </c>
      <c r="I52" s="7">
        <f>VLOOKUP($AT51,STData!$O$10:$Z$103,MATCH(BC$8,STData!$R$7:$Z$7,0)+3,FALSE)</f>
        <v>3326.083796741386</v>
      </c>
      <c r="J52" s="8">
        <f>VLOOKUP($AT51,STData!$O$10:$Z$103,MATCH(BD$8,STData!$R$7:$Z$7,0)+3,FALSE)</f>
        <v>3824.264471463995</v>
      </c>
      <c r="K52" s="9">
        <f>VLOOKUP($AT51,STData!$O$10:$Z$103,MATCH(BE$8,STData!$R$7:$Z$7,0)+3,FALSE)</f>
        <v>4489.553542035847</v>
      </c>
      <c r="L52" s="26"/>
      <c r="AT52">
        <f t="shared" si="0"/>
        <v>53</v>
      </c>
      <c r="AU52">
        <f>IF(ISNUMBER(VLOOKUP($AT52,STData!$O$10:$P$103,2,FALSE)),AT52,AU53)</f>
        <v>53</v>
      </c>
      <c r="AW52" t="s">
        <v>1251</v>
      </c>
      <c r="AZ52" t="s">
        <v>1423</v>
      </c>
    </row>
    <row r="53" spans="1:52" ht="12.75">
      <c r="A53" s="64" t="str">
        <f>VLOOKUP(AT52,STData!$O$10:$AA$103,13,FALSE)</f>
        <v>old</v>
      </c>
      <c r="B53" s="13" t="str">
        <f>VLOOKUP($AT52,STData!$O$10:$Z$103,3,FALSE)</f>
        <v>Estonia</v>
      </c>
      <c r="C53" s="7">
        <f>VLOOKUP($AT52,STData!$O$10:$Z$103,MATCH(AW$8,STData!$R$7:$Z$7,0)+3,FALSE)</f>
        <v>9547.212563755402</v>
      </c>
      <c r="D53" s="8">
        <f>VLOOKUP($AT52,STData!$O$10:$Z$103,MATCH(AX$8,STData!$R$7:$Z$7,0)+3,FALSE)</f>
        <v>10984.734870136019</v>
      </c>
      <c r="E53" s="9">
        <f>VLOOKUP($AT52,STData!$O$10:$Z$103,MATCH(AY$8,STData!$R$7:$Z$7,0)+3,FALSE)</f>
        <v>12888.212682722766</v>
      </c>
      <c r="F53" s="7">
        <f>VLOOKUP($AT52,STData!$O$10:$Z$103,MATCH(AZ$8,STData!$R$7:$Z$7,0)+3,FALSE)</f>
        <v>6820.877155102509</v>
      </c>
      <c r="G53" s="8">
        <f>VLOOKUP($AT52,STData!$O$10:$Z$103,MATCH(BA$8,STData!$R$7:$Z$7,0)+3,FALSE)</f>
        <v>7842.013689979774</v>
      </c>
      <c r="H53" s="9">
        <f>VLOOKUP($AT52,STData!$O$10:$Z$103,MATCH(BB$8,STData!$R$7:$Z$7,0)+3,FALSE)</f>
        <v>9210.138367776499</v>
      </c>
      <c r="I53" s="7">
        <f>VLOOKUP($AT52,STData!$O$10:$Z$103,MATCH(BC$8,STData!$R$7:$Z$7,0)+3,FALSE)</f>
        <v>3321.2538850862506</v>
      </c>
      <c r="J53" s="8">
        <f>VLOOKUP($AT52,STData!$O$10:$Z$103,MATCH(BD$8,STData!$R$7:$Z$7,0)+3,FALSE)</f>
        <v>3816.9512321140496</v>
      </c>
      <c r="K53" s="9">
        <f>VLOOKUP($AT52,STData!$O$10:$Z$103,MATCH(BE$8,STData!$R$7:$Z$7,0)+3,FALSE)</f>
        <v>4481.1856771313</v>
      </c>
      <c r="L53" s="26"/>
      <c r="AT53">
        <f t="shared" si="0"/>
        <v>52</v>
      </c>
      <c r="AU53">
        <f>IF(ISNUMBER(VLOOKUP($AT53,STData!$O$10:$P$103,2,FALSE)),AT53,AU54)</f>
        <v>52</v>
      </c>
      <c r="AW53" t="s">
        <v>1168</v>
      </c>
      <c r="AZ53" t="s">
        <v>1231</v>
      </c>
    </row>
    <row r="54" spans="1:52" ht="12.75">
      <c r="A54" s="64" t="str">
        <f>VLOOKUP(AT53,STData!$O$10:$AA$103,13,FALSE)</f>
        <v>old</v>
      </c>
      <c r="B54" s="13" t="str">
        <f>VLOOKUP($AT53,STData!$O$10:$Z$103,3,FALSE)</f>
        <v>Guadeloupe</v>
      </c>
      <c r="C54" s="7">
        <f>VLOOKUP($AT53,STData!$O$10:$Z$103,MATCH(AW$8,STData!$R$7:$Z$7,0)+3,FALSE)</f>
        <v>10108.965300113545</v>
      </c>
      <c r="D54" s="8">
        <f>VLOOKUP($AT53,STData!$O$10:$Z$103,MATCH(AX$8,STData!$R$7:$Z$7,0)+3,FALSE)</f>
        <v>11586.644565940267</v>
      </c>
      <c r="E54" s="9">
        <f>VLOOKUP($AT53,STData!$O$10:$Z$103,MATCH(AY$8,STData!$R$7:$Z$7,0)+3,FALSE)</f>
        <v>13608.73198233473</v>
      </c>
      <c r="F54" s="7">
        <f>VLOOKUP($AT53,STData!$O$10:$Z$103,MATCH(AZ$8,STData!$R$7:$Z$7,0)+3,FALSE)</f>
        <v>6686.97121083061</v>
      </c>
      <c r="G54" s="8">
        <f>VLOOKUP($AT53,STData!$O$10:$Z$103,MATCH(BA$8,STData!$R$7:$Z$7,0)+3,FALSE)</f>
        <v>7698.014919027842</v>
      </c>
      <c r="H54" s="9">
        <f>VLOOKUP($AT53,STData!$O$10:$Z$103,MATCH(BB$8,STData!$R$7:$Z$7,0)+3,FALSE)</f>
        <v>9020.148998978066</v>
      </c>
      <c r="I54" s="7">
        <f>VLOOKUP($AT53,STData!$O$10:$Z$103,MATCH(BC$8,STData!$R$7:$Z$7,0)+3,FALSE)</f>
        <v>3498.29490036242</v>
      </c>
      <c r="J54" s="8">
        <f>VLOOKUP($AT53,STData!$O$10:$Z$103,MATCH(BD$8,STData!$R$7:$Z$7,0)+3,FALSE)</f>
        <v>4042.70305093016</v>
      </c>
      <c r="K54" s="9">
        <f>VLOOKUP($AT53,STData!$O$10:$Z$103,MATCH(BE$8,STData!$R$7:$Z$7,0)+3,FALSE)</f>
        <v>4742.656387374397</v>
      </c>
      <c r="L54" s="26"/>
      <c r="AT54">
        <f t="shared" si="0"/>
        <v>51</v>
      </c>
      <c r="AU54">
        <f>IF(ISNUMBER(VLOOKUP($AT54,STData!$O$10:$P$103,2,FALSE)),AT54,AU55)</f>
        <v>51</v>
      </c>
      <c r="AW54" t="s">
        <v>1165</v>
      </c>
      <c r="AZ54" t="s">
        <v>1396</v>
      </c>
    </row>
    <row r="55" spans="1:52" ht="12.75">
      <c r="A55" s="64">
        <f>VLOOKUP(AT54,STData!$O$10:$AA$103,13,FALSE)</f>
        <v>39563</v>
      </c>
      <c r="B55" s="13" t="str">
        <f>VLOOKUP($AT54,STData!$O$10:$Z$103,3,FALSE)</f>
        <v>Taiwan</v>
      </c>
      <c r="C55" s="7">
        <f>VLOOKUP($AT54,STData!$O$10:$Z$103,MATCH(AW$8,STData!$R$7:$Z$7,0)+3,FALSE)</f>
        <v>10189.02087827694</v>
      </c>
      <c r="D55" s="8">
        <f>VLOOKUP($AT54,STData!$O$10:$Z$103,MATCH(AX$8,STData!$R$7:$Z$7,0)+3,FALSE)</f>
        <v>11718.335418472523</v>
      </c>
      <c r="E55" s="9">
        <f>VLOOKUP($AT54,STData!$O$10:$Z$103,MATCH(AY$8,STData!$R$7:$Z$7,0)+3,FALSE)</f>
        <v>13758.940926549682</v>
      </c>
      <c r="F55" s="7">
        <f>VLOOKUP($AT54,STData!$O$10:$Z$103,MATCH(AZ$8,STData!$R$7:$Z$7,0)+3,FALSE)</f>
        <v>6890.110294347301</v>
      </c>
      <c r="G55" s="8">
        <f>VLOOKUP($AT54,STData!$O$10:$Z$103,MATCH(BA$8,STData!$R$7:$Z$7,0)+3,FALSE)</f>
        <v>7926.400114439517</v>
      </c>
      <c r="H55" s="9">
        <f>VLOOKUP($AT54,STData!$O$10:$Z$103,MATCH(BB$8,STData!$R$7:$Z$7,0)+3,FALSE)</f>
        <v>9303.74734367601</v>
      </c>
      <c r="I55" s="7">
        <f>VLOOKUP($AT54,STData!$O$10:$Z$103,MATCH(BC$8,STData!$R$7:$Z$7,0)+3,FALSE)</f>
        <v>3217.1843497166597</v>
      </c>
      <c r="J55" s="8">
        <f>VLOOKUP($AT54,STData!$O$10:$Z$103,MATCH(BD$8,STData!$R$7:$Z$7,0)+3,FALSE)</f>
        <v>3882.9021771809635</v>
      </c>
      <c r="K55" s="9">
        <f>VLOOKUP($AT54,STData!$O$10:$Z$103,MATCH(BE$8,STData!$R$7:$Z$7,0)+3,FALSE)</f>
        <v>4555.178800974964</v>
      </c>
      <c r="L55" s="26"/>
      <c r="AT55">
        <f t="shared" si="0"/>
        <v>50</v>
      </c>
      <c r="AU55">
        <f>IF(ISNUMBER(VLOOKUP($AT55,STData!$O$10:$P$103,2,FALSE)),AT55,AU56)</f>
        <v>50</v>
      </c>
      <c r="AW55" t="s">
        <v>1257</v>
      </c>
      <c r="AZ55" t="s">
        <v>1020</v>
      </c>
    </row>
    <row r="56" spans="1:52" ht="12.75">
      <c r="A56" s="64">
        <f>VLOOKUP(AT55,STData!$O$10:$AA$103,13,FALSE)</f>
        <v>39563</v>
      </c>
      <c r="B56" s="13" t="str">
        <f>VLOOKUP($AT55,STData!$O$10:$Z$103,3,FALSE)</f>
        <v>Hong Kong</v>
      </c>
      <c r="C56" s="7">
        <f>VLOOKUP($AT55,STData!$O$10:$Z$103,MATCH(AW$8,STData!$R$7:$Z$7,0)+3,FALSE)</f>
        <v>10263.89716994893</v>
      </c>
      <c r="D56" s="8">
        <f>VLOOKUP($AT55,STData!$O$10:$Z$103,MATCH(AX$8,STData!$R$7:$Z$7,0)+3,FALSE)</f>
        <v>11804.944723006645</v>
      </c>
      <c r="E56" s="9">
        <f>VLOOKUP($AT55,STData!$O$10:$Z$103,MATCH(AY$8,STData!$R$7:$Z$7,0)+3,FALSE)</f>
        <v>13856.680807385736</v>
      </c>
      <c r="F56" s="7">
        <f>VLOOKUP($AT55,STData!$O$10:$Z$103,MATCH(AZ$8,STData!$R$7:$Z$7,0)+3,FALSE)</f>
        <v>6374.70888242359</v>
      </c>
      <c r="G56" s="8">
        <f>VLOOKUP($AT55,STData!$O$10:$Z$103,MATCH(BA$8,STData!$R$7:$Z$7,0)+3,FALSE)</f>
        <v>7333.212231411194</v>
      </c>
      <c r="H56" s="9">
        <f>VLOOKUP($AT55,STData!$O$10:$Z$103,MATCH(BB$8,STData!$R$7:$Z$7,0)+3,FALSE)</f>
        <v>8608.65042270126</v>
      </c>
      <c r="I56" s="7">
        <f>VLOOKUP($AT55,STData!$O$10:$Z$103,MATCH(BC$8,STData!$R$7:$Z$7,0)+3,FALSE)</f>
        <v>2974.395796992327</v>
      </c>
      <c r="J56" s="8">
        <f>VLOOKUP($AT55,STData!$O$10:$Z$103,MATCH(BD$8,STData!$R$7:$Z$7,0)+3,FALSE)</f>
        <v>3591.5847004234356</v>
      </c>
      <c r="K56" s="9">
        <f>VLOOKUP($AT55,STData!$O$10:$Z$103,MATCH(BE$8,STData!$R$7:$Z$7,0)+3,FALSE)</f>
        <v>4215.189288921395</v>
      </c>
      <c r="L56" s="26"/>
      <c r="AT56">
        <f t="shared" si="0"/>
        <v>49</v>
      </c>
      <c r="AU56">
        <f>IF(ISNUMBER(VLOOKUP($AT56,STData!$O$10:$P$103,2,FALSE)),AT56,AU57)</f>
        <v>49</v>
      </c>
      <c r="AZ56" t="s">
        <v>1021</v>
      </c>
    </row>
    <row r="57" spans="1:52" ht="12.75">
      <c r="A57" s="64" t="str">
        <f>VLOOKUP(AT56,STData!$O$10:$AA$103,13,FALSE)</f>
        <v>old</v>
      </c>
      <c r="B57" s="13" t="str">
        <f>VLOOKUP($AT56,STData!$O$10:$Z$103,3,FALSE)</f>
        <v>French Guiana</v>
      </c>
      <c r="C57" s="7">
        <f>VLOOKUP($AT56,STData!$O$10:$Z$103,MATCH(AW$8,STData!$R$7:$Z$7,0)+3,FALSE)</f>
        <v>10513.381523392438</v>
      </c>
      <c r="D57" s="8">
        <f>VLOOKUP($AT56,STData!$O$10:$Z$103,MATCH(AX$8,STData!$R$7:$Z$7,0)+3,FALSE)</f>
        <v>12050.16795985223</v>
      </c>
      <c r="E57" s="9">
        <f>VLOOKUP($AT56,STData!$O$10:$Z$103,MATCH(AY$8,STData!$R$7:$Z$7,0)+3,FALSE)</f>
        <v>14153.138872902471</v>
      </c>
      <c r="F57" s="7">
        <f>VLOOKUP($AT56,STData!$O$10:$Z$103,MATCH(AZ$8,STData!$R$7:$Z$7,0)+3,FALSE)</f>
        <v>6954.507670538185</v>
      </c>
      <c r="G57" s="8">
        <f>VLOOKUP($AT56,STData!$O$10:$Z$103,MATCH(BA$8,STData!$R$7:$Z$7,0)+3,FALSE)</f>
        <v>8005.993127063306</v>
      </c>
      <c r="H57" s="9">
        <f>VLOOKUP($AT56,STData!$O$10:$Z$103,MATCH(BB$8,STData!$R$7:$Z$7,0)+3,FALSE)</f>
        <v>9381.01257021154</v>
      </c>
      <c r="I57" s="7">
        <f>VLOOKUP($AT56,STData!$O$10:$Z$103,MATCH(BC$8,STData!$R$7:$Z$7,0)+3,FALSE)</f>
        <v>3638.284307651267</v>
      </c>
      <c r="J57" s="8">
        <f>VLOOKUP($AT56,STData!$O$10:$Z$103,MATCH(BD$8,STData!$R$7:$Z$7,0)+3,FALSE)</f>
        <v>4204.468784241717</v>
      </c>
      <c r="K57" s="9">
        <f>VLOOKUP($AT56,STData!$O$10:$Z$103,MATCH(BE$8,STData!$R$7:$Z$7,0)+3,FALSE)</f>
        <v>4932.4202541437235</v>
      </c>
      <c r="L57" s="26"/>
      <c r="AT57">
        <f t="shared" si="0"/>
        <v>48</v>
      </c>
      <c r="AU57">
        <f>IF(ISNUMBER(VLOOKUP($AT57,STData!$O$10:$P$103,2,FALSE)),AT57,AU58)</f>
        <v>48</v>
      </c>
      <c r="AZ57" t="s">
        <v>1424</v>
      </c>
    </row>
    <row r="58" spans="1:52" ht="12.75">
      <c r="A58" s="64" t="str">
        <f>VLOOKUP(AT57,STData!$O$10:$AA$103,13,FALSE)</f>
        <v>old</v>
      </c>
      <c r="B58" s="13" t="str">
        <f>VLOOKUP($AT57,STData!$O$10:$Z$103,3,FALSE)</f>
        <v>Martinique</v>
      </c>
      <c r="C58" s="7">
        <f>VLOOKUP($AT57,STData!$O$10:$Z$103,MATCH(AW$8,STData!$R$7:$Z$7,0)+3,FALSE)</f>
        <v>10513.386953392439</v>
      </c>
      <c r="D58" s="8">
        <f>VLOOKUP($AT57,STData!$O$10:$Z$103,MATCH(AX$8,STData!$R$7:$Z$7,0)+3,FALSE)</f>
        <v>12050.17338985223</v>
      </c>
      <c r="E58" s="9">
        <f>VLOOKUP($AT57,STData!$O$10:$Z$103,MATCH(AY$8,STData!$R$7:$Z$7,0)+3,FALSE)</f>
        <v>14153.144302902472</v>
      </c>
      <c r="F58" s="7">
        <f>VLOOKUP($AT57,STData!$O$10:$Z$103,MATCH(AZ$8,STData!$R$7:$Z$7,0)+3,FALSE)</f>
        <v>6954.513100538185</v>
      </c>
      <c r="G58" s="8">
        <f>VLOOKUP($AT57,STData!$O$10:$Z$103,MATCH(BA$8,STData!$R$7:$Z$7,0)+3,FALSE)</f>
        <v>8005.998557063306</v>
      </c>
      <c r="H58" s="9">
        <f>VLOOKUP($AT57,STData!$O$10:$Z$103,MATCH(BB$8,STData!$R$7:$Z$7,0)+3,FALSE)</f>
        <v>9381.018000211541</v>
      </c>
      <c r="I58" s="7">
        <f>VLOOKUP($AT57,STData!$O$10:$Z$103,MATCH(BC$8,STData!$R$7:$Z$7,0)+3,FALSE)</f>
        <v>3638.2897376512674</v>
      </c>
      <c r="J58" s="8">
        <f>VLOOKUP($AT57,STData!$O$10:$Z$103,MATCH(BD$8,STData!$R$7:$Z$7,0)+3,FALSE)</f>
        <v>4204.474214241717</v>
      </c>
      <c r="K58" s="9">
        <f>VLOOKUP($AT57,STData!$O$10:$Z$103,MATCH(BE$8,STData!$R$7:$Z$7,0)+3,FALSE)</f>
        <v>4932.425684143724</v>
      </c>
      <c r="L58" s="26"/>
      <c r="AT58">
        <f t="shared" si="0"/>
        <v>47</v>
      </c>
      <c r="AU58">
        <f>IF(ISNUMBER(VLOOKUP($AT58,STData!$O$10:$P$103,2,FALSE)),AT58,AU59)</f>
        <v>47</v>
      </c>
      <c r="AZ58" t="s">
        <v>1022</v>
      </c>
    </row>
    <row r="59" spans="1:52" ht="12.75">
      <c r="A59" s="64" t="str">
        <f>VLOOKUP(AT58,STData!$O$10:$AA$103,13,FALSE)</f>
        <v>old</v>
      </c>
      <c r="B59" s="13" t="str">
        <f>VLOOKUP($AT58,STData!$O$10:$Z$103,3,FALSE)</f>
        <v>Reunion</v>
      </c>
      <c r="C59" s="7">
        <f>VLOOKUP($AT58,STData!$O$10:$Z$103,MATCH(AW$8,STData!$R$7:$Z$7,0)+3,FALSE)</f>
        <v>10513.392383392438</v>
      </c>
      <c r="D59" s="8">
        <f>VLOOKUP($AT58,STData!$O$10:$Z$103,MATCH(AX$8,STData!$R$7:$Z$7,0)+3,FALSE)</f>
        <v>12050.17881985223</v>
      </c>
      <c r="E59" s="9">
        <f>VLOOKUP($AT58,STData!$O$10:$Z$103,MATCH(AY$8,STData!$R$7:$Z$7,0)+3,FALSE)</f>
        <v>14153.149732902471</v>
      </c>
      <c r="F59" s="7">
        <f>VLOOKUP($AT58,STData!$O$10:$Z$103,MATCH(AZ$8,STData!$R$7:$Z$7,0)+3,FALSE)</f>
        <v>6954.518530538186</v>
      </c>
      <c r="G59" s="8">
        <f>VLOOKUP($AT58,STData!$O$10:$Z$103,MATCH(BA$8,STData!$R$7:$Z$7,0)+3,FALSE)</f>
        <v>8006.003987063306</v>
      </c>
      <c r="H59" s="9">
        <f>VLOOKUP($AT58,STData!$O$10:$Z$103,MATCH(BB$8,STData!$R$7:$Z$7,0)+3,FALSE)</f>
        <v>9381.02343021154</v>
      </c>
      <c r="I59" s="7">
        <f>VLOOKUP($AT58,STData!$O$10:$Z$103,MATCH(BC$8,STData!$R$7:$Z$7,0)+3,FALSE)</f>
        <v>3638.295167651267</v>
      </c>
      <c r="J59" s="8">
        <f>VLOOKUP($AT58,STData!$O$10:$Z$103,MATCH(BD$8,STData!$R$7:$Z$7,0)+3,FALSE)</f>
        <v>4204.479644241717</v>
      </c>
      <c r="K59" s="9">
        <f>VLOOKUP($AT58,STData!$O$10:$Z$103,MATCH(BE$8,STData!$R$7:$Z$7,0)+3,FALSE)</f>
        <v>4932.431114143724</v>
      </c>
      <c r="L59" s="26"/>
      <c r="AT59">
        <f t="shared" si="0"/>
        <v>46</v>
      </c>
      <c r="AU59">
        <f>IF(ISNUMBER(VLOOKUP($AT59,STData!$O$10:$P$103,2,FALSE)),AT59,AU60)</f>
        <v>46</v>
      </c>
      <c r="AZ59" t="s">
        <v>862</v>
      </c>
    </row>
    <row r="60" spans="1:52" ht="12.75">
      <c r="A60" s="64">
        <f>VLOOKUP(AT59,STData!$O$10:$AA$103,13,FALSE)</f>
        <v>39563</v>
      </c>
      <c r="B60" s="13" t="str">
        <f>VLOOKUP($AT59,STData!$O$10:$Z$103,3,FALSE)</f>
        <v>S. Korea</v>
      </c>
      <c r="C60" s="7">
        <f>VLOOKUP($AT59,STData!$O$10:$Z$103,MATCH(AW$8,STData!$R$7:$Z$7,0)+3,FALSE)</f>
        <v>10978.707804891515</v>
      </c>
      <c r="D60" s="8">
        <f>VLOOKUP($AT59,STData!$O$10:$Z$103,MATCH(AX$8,STData!$R$7:$Z$7,0)+3,FALSE)</f>
        <v>12625.629345209152</v>
      </c>
      <c r="E60" s="9">
        <f>VLOOKUP($AT59,STData!$O$10:$Z$103,MATCH(AY$8,STData!$R$7:$Z$7,0)+3,FALSE)</f>
        <v>14821.39287836712</v>
      </c>
      <c r="F60" s="7">
        <f>VLOOKUP($AT59,STData!$O$10:$Z$103,MATCH(AZ$8,STData!$R$7:$Z$7,0)+3,FALSE)</f>
        <v>5623.1966401598065</v>
      </c>
      <c r="G60" s="8">
        <f>VLOOKUP($AT59,STData!$O$10:$Z$103,MATCH(BA$8,STData!$R$7:$Z$7,0)+3,FALSE)</f>
        <v>6466.73217149819</v>
      </c>
      <c r="H60" s="9">
        <f>VLOOKUP($AT59,STData!$O$10:$Z$103,MATCH(BB$8,STData!$R$7:$Z$7,0)+3,FALSE)</f>
        <v>7591.413249799647</v>
      </c>
      <c r="I60" s="7">
        <f>VLOOKUP($AT59,STData!$O$10:$Z$103,MATCH(BC$8,STData!$R$7:$Z$7,0)+3,FALSE)</f>
        <v>3163.0989363960366</v>
      </c>
      <c r="J60" s="8">
        <f>VLOOKUP($AT59,STData!$O$10:$Z$103,MATCH(BD$8,STData!$R$7:$Z$7,0)+3,FALSE)</f>
        <v>3637.4764210185717</v>
      </c>
      <c r="K60" s="9">
        <f>VLOOKUP($AT59,STData!$O$10:$Z$103,MATCH(BE$8,STData!$R$7:$Z$7,0)+3,FALSE)</f>
        <v>4270.078624297778</v>
      </c>
      <c r="L60" s="26"/>
      <c r="AT60">
        <f t="shared" si="0"/>
        <v>45</v>
      </c>
      <c r="AU60">
        <f>IF(ISNUMBER(VLOOKUP($AT60,STData!$O$10:$P$103,2,FALSE)),AT60,AU61)</f>
        <v>45</v>
      </c>
      <c r="AZ60" t="s">
        <v>1425</v>
      </c>
    </row>
    <row r="61" spans="1:52" ht="12.75">
      <c r="A61" s="64">
        <f>VLOOKUP(AT60,STData!$O$10:$AA$103,13,FALSE)</f>
        <v>39563</v>
      </c>
      <c r="B61" s="13" t="str">
        <f>VLOOKUP($AT60,STData!$O$10:$Z$103,3,FALSE)</f>
        <v>Brazil</v>
      </c>
      <c r="C61" s="7">
        <f>VLOOKUP($AT60,STData!$O$10:$Z$103,MATCH(AW$8,STData!$R$7:$Z$7,0)+3,FALSE)</f>
        <v>11193.07837</v>
      </c>
      <c r="D61" s="8">
        <f>VLOOKUP($AT60,STData!$O$10:$Z$103,MATCH(AX$8,STData!$R$7:$Z$7,0)+3,FALSE)</f>
        <v>12884.07837</v>
      </c>
      <c r="E61" s="9">
        <f>VLOOKUP($AT60,STData!$O$10:$Z$103,MATCH(AY$8,STData!$R$7:$Z$7,0)+3,FALSE)</f>
        <v>15112.07837</v>
      </c>
      <c r="F61" s="7">
        <f>VLOOKUP($AT60,STData!$O$10:$Z$103,MATCH(AZ$8,STData!$R$7:$Z$7,0)+3,FALSE)</f>
        <v>7777.07837</v>
      </c>
      <c r="G61" s="8">
        <f>VLOOKUP($AT60,STData!$O$10:$Z$103,MATCH(BA$8,STData!$R$7:$Z$7,0)+3,FALSE)</f>
        <v>8910.07837</v>
      </c>
      <c r="H61" s="9">
        <f>VLOOKUP($AT60,STData!$O$10:$Z$103,MATCH(BB$8,STData!$R$7:$Z$7,0)+3,FALSE)</f>
        <v>10455.07837</v>
      </c>
      <c r="I61" s="7">
        <f>VLOOKUP($AT60,STData!$O$10:$Z$103,MATCH(BC$8,STData!$R$7:$Z$7,0)+3,FALSE)</f>
        <v>3045.0783699999997</v>
      </c>
      <c r="J61" s="8">
        <f>VLOOKUP($AT60,STData!$O$10:$Z$103,MATCH(BD$8,STData!$R$7:$Z$7,0)+3,FALSE)</f>
        <v>3465.0783699999997</v>
      </c>
      <c r="K61" s="9">
        <f>VLOOKUP($AT60,STData!$O$10:$Z$103,MATCH(BE$8,STData!$R$7:$Z$7,0)+3,FALSE)</f>
        <v>4095.0783699999997</v>
      </c>
      <c r="L61" s="26"/>
      <c r="AT61">
        <f t="shared" si="0"/>
        <v>44</v>
      </c>
      <c r="AU61">
        <f>IF(ISNUMBER(VLOOKUP($AT61,STData!$O$10:$P$103,2,FALSE)),AT61,AU62)</f>
        <v>44</v>
      </c>
      <c r="AZ61" t="s">
        <v>1226</v>
      </c>
    </row>
    <row r="62" spans="1:52" ht="12.75">
      <c r="A62" s="64">
        <f>VLOOKUP(AT61,STData!$O$10:$AA$103,13,FALSE)</f>
        <v>39563</v>
      </c>
      <c r="B62" s="13" t="str">
        <f>VLOOKUP($AT61,STData!$O$10:$Z$103,3,FALSE)</f>
        <v>India</v>
      </c>
      <c r="C62" s="7">
        <f>VLOOKUP($AT61,STData!$O$10:$Z$103,MATCH(AW$8,STData!$R$7:$Z$7,0)+3,FALSE)</f>
        <v>11230.151650209827</v>
      </c>
      <c r="D62" s="8">
        <f>VLOOKUP($AT61,STData!$O$10:$Z$103,MATCH(AX$8,STData!$R$7:$Z$7,0)+3,FALSE)</f>
        <v>12915.784827203162</v>
      </c>
      <c r="E62" s="9">
        <f>VLOOKUP($AT61,STData!$O$10:$Z$103,MATCH(AY$8,STData!$R$7:$Z$7,0)+3,FALSE)</f>
        <v>15161.156340409778</v>
      </c>
      <c r="F62" s="7">
        <f>VLOOKUP($AT61,STData!$O$10:$Z$103,MATCH(AZ$8,STData!$R$7:$Z$7,0)+3,FALSE)</f>
        <v>6472.560931868676</v>
      </c>
      <c r="G62" s="8">
        <f>VLOOKUP($AT61,STData!$O$10:$Z$103,MATCH(BA$8,STData!$R$7:$Z$7,0)+3,FALSE)</f>
        <v>7452.072163663294</v>
      </c>
      <c r="H62" s="9">
        <f>VLOOKUP($AT61,STData!$O$10:$Z$103,MATCH(BB$8,STData!$R$7:$Z$7,0)+3,FALSE)</f>
        <v>8740.889739570479</v>
      </c>
      <c r="I62" s="7">
        <f>VLOOKUP($AT61,STData!$O$10:$Z$103,MATCH(BC$8,STData!$R$7:$Z$7,0)+3,FALSE)</f>
        <v>3260.514523574426</v>
      </c>
      <c r="J62" s="8">
        <f>VLOOKUP($AT61,STData!$O$10:$Z$103,MATCH(BD$8,STData!$R$7:$Z$7,0)+3,FALSE)</f>
        <v>3747.3079079239697</v>
      </c>
      <c r="K62" s="9">
        <f>VLOOKUP($AT61,STData!$O$10:$Z$103,MATCH(BE$8,STData!$R$7:$Z$7,0)+3,FALSE)</f>
        <v>4400.2331115773895</v>
      </c>
      <c r="L62" s="26"/>
      <c r="AT62">
        <f t="shared" si="0"/>
        <v>43</v>
      </c>
      <c r="AU62">
        <f>IF(ISNUMBER(VLOOKUP($AT62,STData!$O$10:$P$103,2,FALSE)),AT62,AU63)</f>
        <v>43</v>
      </c>
      <c r="AZ62" t="s">
        <v>1398</v>
      </c>
    </row>
    <row r="63" spans="1:52" ht="12.75">
      <c r="A63" s="64">
        <f>VLOOKUP(AT62,STData!$O$10:$AA$103,13,FALSE)</f>
        <v>39563</v>
      </c>
      <c r="B63" s="13" t="str">
        <f>VLOOKUP($AT62,STData!$O$10:$Z$103,3,FALSE)</f>
        <v>Thailand</v>
      </c>
      <c r="C63" s="7">
        <f>VLOOKUP($AT62,STData!$O$10:$Z$103,MATCH(AW$8,STData!$R$7:$Z$7,0)+3,FALSE)</f>
        <v>11546.090067620195</v>
      </c>
      <c r="D63" s="8">
        <f>VLOOKUP($AT62,STData!$O$10:$Z$103,MATCH(AX$8,STData!$R$7:$Z$7,0)+3,FALSE)</f>
        <v>13279.0782657512</v>
      </c>
      <c r="E63" s="9">
        <f>VLOOKUP($AT62,STData!$O$10:$Z$103,MATCH(AY$8,STData!$R$7:$Z$7,0)+3,FALSE)</f>
        <v>15586.49094257554</v>
      </c>
      <c r="F63" s="7">
        <f>VLOOKUP($AT62,STData!$O$10:$Z$103,MATCH(AZ$8,STData!$R$7:$Z$7,0)+3,FALSE)</f>
        <v>6934.241818471021</v>
      </c>
      <c r="G63" s="8">
        <f>VLOOKUP($AT62,STData!$O$10:$Z$103,MATCH(BA$8,STData!$R$7:$Z$7,0)+3,FALSE)</f>
        <v>7978.422049243627</v>
      </c>
      <c r="H63" s="9">
        <f>VLOOKUP($AT62,STData!$O$10:$Z$103,MATCH(BB$8,STData!$R$7:$Z$7,0)+3,FALSE)</f>
        <v>9361.365434117428</v>
      </c>
      <c r="I63" s="7">
        <f>VLOOKUP($AT62,STData!$O$10:$Z$103,MATCH(BC$8,STData!$R$7:$Z$7,0)+3,FALSE)</f>
        <v>3321.290473759926</v>
      </c>
      <c r="J63" s="8">
        <f>VLOOKUP($AT62,STData!$O$10:$Z$103,MATCH(BD$8,STData!$R$7:$Z$7,0)+3,FALSE)</f>
        <v>3819.8771325712155</v>
      </c>
      <c r="K63" s="9">
        <f>VLOOKUP($AT62,STData!$O$10:$Z$103,MATCH(BE$8,STData!$R$7:$Z$7,0)+3,FALSE)</f>
        <v>4515.266067770619</v>
      </c>
      <c r="L63" s="26"/>
      <c r="AT63">
        <f t="shared" si="0"/>
        <v>42</v>
      </c>
      <c r="AU63">
        <f>IF(ISNUMBER(VLOOKUP($AT63,STData!$O$10:$P$103,2,FALSE)),AT63,AU64)</f>
        <v>42</v>
      </c>
      <c r="AZ63" t="s">
        <v>1426</v>
      </c>
    </row>
    <row r="64" spans="1:52" ht="12.75">
      <c r="A64" s="64">
        <f>VLOOKUP(AT63,STData!$O$10:$AA$103,13,FALSE)</f>
        <v>39563</v>
      </c>
      <c r="B64" s="13" t="str">
        <f>VLOOKUP($AT63,STData!$O$10:$Z$103,3,FALSE)</f>
        <v>Argentina</v>
      </c>
      <c r="C64" s="7">
        <f>VLOOKUP($AT63,STData!$O$10:$Z$103,MATCH(AW$8,STData!$R$7:$Z$7,0)+3,FALSE)</f>
        <v>11869.79343</v>
      </c>
      <c r="D64" s="8">
        <f>VLOOKUP($AT63,STData!$O$10:$Z$103,MATCH(AX$8,STData!$R$7:$Z$7,0)+3,FALSE)</f>
        <v>13662.401429999998</v>
      </c>
      <c r="E64" s="9">
        <f>VLOOKUP($AT63,STData!$O$10:$Z$103,MATCH(AY$8,STData!$R$7:$Z$7,0)+3,FALSE)</f>
        <v>16025.61423</v>
      </c>
      <c r="F64" s="7">
        <f>VLOOKUP($AT63,STData!$O$10:$Z$103,MATCH(AZ$8,STData!$R$7:$Z$7,0)+3,FALSE)</f>
        <v>7854.09903</v>
      </c>
      <c r="G64" s="8">
        <f>VLOOKUP($AT63,STData!$O$10:$Z$103,MATCH(BA$8,STData!$R$7:$Z$7,0)+3,FALSE)</f>
        <v>8998.464629999999</v>
      </c>
      <c r="H64" s="9">
        <f>VLOOKUP($AT63,STData!$O$10:$Z$103,MATCH(BB$8,STData!$R$7:$Z$7,0)+3,FALSE)</f>
        <v>10558.791029999998</v>
      </c>
      <c r="I64" s="7">
        <f>VLOOKUP($AT63,STData!$O$10:$Z$103,MATCH(BC$8,STData!$R$7:$Z$7,0)+3,FALSE)</f>
        <v>3075.28383</v>
      </c>
      <c r="J64" s="8">
        <f>VLOOKUP($AT63,STData!$O$10:$Z$103,MATCH(BD$8,STData!$R$7:$Z$7,0)+3,FALSE)</f>
        <v>3499.4502299999995</v>
      </c>
      <c r="K64" s="9">
        <f>VLOOKUP($AT63,STData!$O$10:$Z$103,MATCH(BE$8,STData!$R$7:$Z$7,0)+3,FALSE)</f>
        <v>4135.6998300000005</v>
      </c>
      <c r="L64" s="26"/>
      <c r="AT64">
        <f t="shared" si="0"/>
        <v>41</v>
      </c>
      <c r="AU64">
        <f>IF(ISNUMBER(VLOOKUP($AT64,STData!$O$10:$P$103,2,FALSE)),AT64,AU65)</f>
        <v>41</v>
      </c>
      <c r="AZ64" t="s">
        <v>1243</v>
      </c>
    </row>
    <row r="65" spans="1:52" ht="12.75">
      <c r="A65" s="64">
        <f>VLOOKUP(AT64,STData!$O$10:$AA$103,13,FALSE)</f>
        <v>39563</v>
      </c>
      <c r="B65" s="13" t="str">
        <f>VLOOKUP($AT64,STData!$O$10:$Z$103,3,FALSE)</f>
        <v>Malaysia</v>
      </c>
      <c r="C65" s="7">
        <f>VLOOKUP($AT64,STData!$O$10:$Z$103,MATCH(AW$8,STData!$R$7:$Z$7,0)+3,FALSE)</f>
        <v>11919.91436414753</v>
      </c>
      <c r="D65" s="8">
        <f>VLOOKUP($AT64,STData!$O$10:$Z$103,MATCH(AX$8,STData!$R$7:$Z$7,0)+3,FALSE)</f>
        <v>13711.8781730131</v>
      </c>
      <c r="E65" s="9">
        <f>VLOOKUP($AT64,STData!$O$10:$Z$103,MATCH(AY$8,STData!$R$7:$Z$7,0)+3,FALSE)</f>
        <v>16092.890393804153</v>
      </c>
      <c r="F65" s="7">
        <f>VLOOKUP($AT64,STData!$O$10:$Z$103,MATCH(AZ$8,STData!$R$7:$Z$7,0)+3,FALSE)</f>
        <v>8441.544221833432</v>
      </c>
      <c r="G65" s="8">
        <f>VLOOKUP($AT64,STData!$O$10:$Z$103,MATCH(BA$8,STData!$R$7:$Z$7,0)+3,FALSE)</f>
        <v>9550.526032018472</v>
      </c>
      <c r="H65" s="9">
        <f>VLOOKUP($AT64,STData!$O$10:$Z$103,MATCH(BB$8,STData!$R$7:$Z$7,0)+3,FALSE)</f>
        <v>11287.826148257358</v>
      </c>
      <c r="I65" s="7">
        <f>VLOOKUP($AT64,STData!$O$10:$Z$103,MATCH(BC$8,STData!$R$7:$Z$7,0)+3,FALSE)</f>
        <v>3766.856024792812</v>
      </c>
      <c r="J65" s="8">
        <f>VLOOKUP($AT64,STData!$O$10:$Z$103,MATCH(BD$8,STData!$R$7:$Z$7,0)+3,FALSE)</f>
        <v>4370.0415986045045</v>
      </c>
      <c r="K65" s="9">
        <f>VLOOKUP($AT64,STData!$O$10:$Z$103,MATCH(BE$8,STData!$R$7:$Z$7,0)+3,FALSE)</f>
        <v>5051.766960672929</v>
      </c>
      <c r="L65" s="26"/>
      <c r="AT65">
        <f t="shared" si="0"/>
        <v>40</v>
      </c>
      <c r="AU65">
        <f>IF(ISNUMBER(VLOOKUP($AT65,STData!$O$10:$P$103,2,FALSE)),AT65,AU66)</f>
        <v>40</v>
      </c>
      <c r="AZ65" t="s">
        <v>1382</v>
      </c>
    </row>
    <row r="66" spans="1:52" ht="12.75">
      <c r="A66" s="64">
        <f>VLOOKUP(AT65,STData!$O$10:$AA$103,13,FALSE)</f>
        <v>39563</v>
      </c>
      <c r="B66" s="13" t="str">
        <f>VLOOKUP($AT65,STData!$O$10:$Z$103,3,FALSE)</f>
        <v>USA</v>
      </c>
      <c r="C66" s="7">
        <f>VLOOKUP($AT65,STData!$O$10:$Z$103,MATCH(AW$8,STData!$R$7:$Z$7,0)+3,FALSE)</f>
        <v>11984.093949999999</v>
      </c>
      <c r="D66" s="8">
        <f>VLOOKUP($AT65,STData!$O$10:$Z$103,MATCH(AX$8,STData!$R$7:$Z$7,0)+3,FALSE)</f>
        <v>13789.093949999999</v>
      </c>
      <c r="E66" s="9">
        <f>VLOOKUP($AT65,STData!$O$10:$Z$103,MATCH(AY$8,STData!$R$7:$Z$7,0)+3,FALSE)</f>
        <v>16185.093949999999</v>
      </c>
      <c r="F66" s="7">
        <f>VLOOKUP($AT65,STData!$O$10:$Z$103,MATCH(AZ$8,STData!$R$7:$Z$7,0)+3,FALSE)</f>
        <v>7880.09395</v>
      </c>
      <c r="G66" s="8">
        <f>VLOOKUP($AT65,STData!$O$10:$Z$103,MATCH(BA$8,STData!$R$7:$Z$7,0)+3,FALSE)</f>
        <v>9013.093949999999</v>
      </c>
      <c r="H66" s="9">
        <f>VLOOKUP($AT65,STData!$O$10:$Z$103,MATCH(BB$8,STData!$R$7:$Z$7,0)+3,FALSE)</f>
        <v>10558.093949999999</v>
      </c>
      <c r="I66" s="7">
        <f>VLOOKUP($AT65,STData!$O$10:$Z$103,MATCH(BC$8,STData!$R$7:$Z$7,0)+3,FALSE)</f>
        <v>4069.09395</v>
      </c>
      <c r="J66" s="8">
        <f>VLOOKUP($AT65,STData!$O$10:$Z$103,MATCH(BD$8,STData!$R$7:$Z$7,0)+3,FALSE)</f>
        <v>4687.09395</v>
      </c>
      <c r="K66" s="9">
        <f>VLOOKUP($AT65,STData!$O$10:$Z$103,MATCH(BE$8,STData!$R$7:$Z$7,0)+3,FALSE)</f>
        <v>5511.09395</v>
      </c>
      <c r="L66" s="26"/>
      <c r="AT66">
        <f t="shared" si="0"/>
        <v>39</v>
      </c>
      <c r="AU66">
        <f>IF(ISNUMBER(VLOOKUP($AT66,STData!$O$10:$P$103,2,FALSE)),AT66,AU67)</f>
        <v>39</v>
      </c>
      <c r="AZ66" t="s">
        <v>1228</v>
      </c>
    </row>
    <row r="67" spans="1:52" ht="12.75">
      <c r="A67" s="64" t="str">
        <f>VLOOKUP(AT66,STData!$O$10:$AA$103,13,FALSE)</f>
        <v>old</v>
      </c>
      <c r="B67" s="13" t="str">
        <f>VLOOKUP($AT66,STData!$O$10:$Z$103,3,FALSE)</f>
        <v>Morocco</v>
      </c>
      <c r="C67" s="7">
        <f>VLOOKUP($AT66,STData!$O$10:$Z$103,MATCH(AW$8,STData!$R$7:$Z$7,0)+3,FALSE)</f>
        <v>12066.473573189469</v>
      </c>
      <c r="D67" s="8">
        <f>VLOOKUP($AT66,STData!$O$10:$Z$103,MATCH(AX$8,STData!$R$7:$Z$7,0)+3,FALSE)</f>
        <v>13882.534211946482</v>
      </c>
      <c r="E67" s="9">
        <f>VLOOKUP($AT66,STData!$O$10:$Z$103,MATCH(AY$8,STData!$R$7:$Z$7,0)+3,FALSE)</f>
        <v>16298.778277548552</v>
      </c>
      <c r="F67" s="7">
        <f>VLOOKUP($AT66,STData!$O$10:$Z$103,MATCH(AZ$8,STData!$R$7:$Z$7,0)+3,FALSE)</f>
        <v>9633.37042256366</v>
      </c>
      <c r="G67" s="8">
        <f>VLOOKUP($AT66,STData!$O$10:$Z$103,MATCH(BA$8,STData!$R$7:$Z$7,0)+3,FALSE)</f>
        <v>11100.11081962883</v>
      </c>
      <c r="H67" s="9">
        <f>VLOOKUP($AT66,STData!$O$10:$Z$103,MATCH(BB$8,STData!$R$7:$Z$7,0)+3,FALSE)</f>
        <v>13015.977241726368</v>
      </c>
      <c r="I67" s="7">
        <f>VLOOKUP($AT66,STData!$O$10:$Z$103,MATCH(BC$8,STData!$R$7:$Z$7,0)+3,FALSE)</f>
        <v>5332.280651307726</v>
      </c>
      <c r="J67" s="8">
        <f>VLOOKUP($AT66,STData!$O$10:$Z$103,MATCH(BD$8,STData!$R$7:$Z$7,0)+3,FALSE)</f>
        <v>6064.6393047388865</v>
      </c>
      <c r="K67" s="9">
        <f>VLOOKUP($AT66,STData!$O$10:$Z$103,MATCH(BE$8,STData!$R$7:$Z$7,0)+3,FALSE)</f>
        <v>7165.200375088477</v>
      </c>
      <c r="L67" s="26"/>
      <c r="AT67">
        <f t="shared" si="0"/>
        <v>38</v>
      </c>
      <c r="AU67">
        <f>IF(ISNUMBER(VLOOKUP($AT67,STData!$O$10:$P$103,2,FALSE)),AT67,AU68)</f>
        <v>38</v>
      </c>
      <c r="AZ67" t="s">
        <v>1427</v>
      </c>
    </row>
    <row r="68" spans="1:52" ht="12.75">
      <c r="A68" s="64">
        <f>VLOOKUP(AT67,STData!$O$10:$AA$103,13,FALSE)</f>
        <v>39563</v>
      </c>
      <c r="B68" s="13" t="str">
        <f>VLOOKUP($AT67,STData!$O$10:$Z$103,3,FALSE)</f>
        <v>China</v>
      </c>
      <c r="C68" s="7">
        <f>VLOOKUP($AT67,STData!$O$10:$Z$103,MATCH(AW$8,STData!$R$7:$Z$7,0)+3,FALSE)</f>
        <v>12111.245128573979</v>
      </c>
      <c r="D68" s="8">
        <f>VLOOKUP($AT67,STData!$O$10:$Z$103,MATCH(AX$8,STData!$R$7:$Z$7,0)+3,FALSE)</f>
        <v>13928.777456930055</v>
      </c>
      <c r="E68" s="9">
        <f>VLOOKUP($AT67,STData!$O$10:$Z$103,MATCH(AY$8,STData!$R$7:$Z$7,0)+3,FALSE)</f>
        <v>16350.725017121526</v>
      </c>
      <c r="F68" s="7">
        <f>VLOOKUP($AT67,STData!$O$10:$Z$103,MATCH(AZ$8,STData!$R$7:$Z$7,0)+3,FALSE)</f>
        <v>7541.694510584411</v>
      </c>
      <c r="G68" s="8">
        <f>VLOOKUP($AT67,STData!$O$10:$Z$103,MATCH(BA$8,STData!$R$7:$Z$7,0)+3,FALSE)</f>
        <v>8674.794460573694</v>
      </c>
      <c r="H68" s="9">
        <f>VLOOKUP($AT67,STData!$O$10:$Z$103,MATCH(BB$8,STData!$R$7:$Z$7,0)+3,FALSE)</f>
        <v>10183.689223737229</v>
      </c>
      <c r="I68" s="7">
        <f>VLOOKUP($AT67,STData!$O$10:$Z$103,MATCH(BC$8,STData!$R$7:$Z$7,0)+3,FALSE)</f>
        <v>3802.321787858112</v>
      </c>
      <c r="J68" s="8">
        <f>VLOOKUP($AT67,STData!$O$10:$Z$103,MATCH(BD$8,STData!$R$7:$Z$7,0)+3,FALSE)</f>
        <v>4372.443956894334</v>
      </c>
      <c r="K68" s="9">
        <f>VLOOKUP($AT67,STData!$O$10:$Z$103,MATCH(BE$8,STData!$R$7:$Z$7,0)+3,FALSE)</f>
        <v>5134.035726559263</v>
      </c>
      <c r="L68" s="26"/>
      <c r="AT68">
        <f t="shared" si="0"/>
        <v>37</v>
      </c>
      <c r="AU68">
        <f>IF(ISNUMBER(VLOOKUP($AT68,STData!$O$10:$P$103,2,FALSE)),AT68,AU69)</f>
        <v>37</v>
      </c>
      <c r="AZ68" t="s">
        <v>1219</v>
      </c>
    </row>
    <row r="69" spans="1:52" ht="12.75">
      <c r="A69" s="64">
        <f>VLOOKUP(AT68,STData!$O$10:$AA$103,13,FALSE)</f>
        <v>39563</v>
      </c>
      <c r="B69" s="13" t="str">
        <f>VLOOKUP($AT68,STData!$O$10:$Z$103,3,FALSE)</f>
        <v>New Zealand</v>
      </c>
      <c r="C69" s="7">
        <f>VLOOKUP($AT68,STData!$O$10:$Z$103,MATCH(AW$8,STData!$R$7:$Z$7,0)+3,FALSE)</f>
        <v>13134.63871313689</v>
      </c>
      <c r="D69" s="8">
        <f>VLOOKUP($AT68,STData!$O$10:$Z$103,MATCH(AX$8,STData!$R$7:$Z$7,0)+3,FALSE)</f>
        <v>15363.357141574683</v>
      </c>
      <c r="E69" s="9">
        <f>VLOOKUP($AT68,STData!$O$10:$Z$103,MATCH(AY$8,STData!$R$7:$Z$7,0)+3,FALSE)</f>
        <v>17737.070892744</v>
      </c>
      <c r="F69" s="7">
        <f>VLOOKUP($AT68,STData!$O$10:$Z$103,MATCH(AZ$8,STData!$R$7:$Z$7,0)+3,FALSE)</f>
        <v>9158.960509207984</v>
      </c>
      <c r="G69" s="8">
        <f>VLOOKUP($AT68,STData!$O$10:$Z$103,MATCH(BA$8,STData!$R$7:$Z$7,0)+3,FALSE)</f>
        <v>10398.43665513876</v>
      </c>
      <c r="H69" s="9">
        <f>VLOOKUP($AT68,STData!$O$10:$Z$103,MATCH(BB$8,STData!$R$7:$Z$7,0)+3,FALSE)</f>
        <v>11482.003851895854</v>
      </c>
      <c r="I69" s="7">
        <f>VLOOKUP($AT68,STData!$O$10:$Z$103,MATCH(BC$8,STData!$R$7:$Z$7,0)+3,FALSE)</f>
        <v>3257.8067829840975</v>
      </c>
      <c r="J69" s="8">
        <f>VLOOKUP($AT68,STData!$O$10:$Z$103,MATCH(BD$8,STData!$R$7:$Z$7,0)+3,FALSE)</f>
        <v>3515.056549120674</v>
      </c>
      <c r="K69" s="9">
        <f>VLOOKUP($AT68,STData!$O$10:$Z$103,MATCH(BE$8,STData!$R$7:$Z$7,0)+3,FALSE)</f>
        <v>3998.3742915590897</v>
      </c>
      <c r="L69" s="26"/>
      <c r="AT69">
        <f t="shared" si="0"/>
        <v>36</v>
      </c>
      <c r="AU69">
        <f>IF(ISNUMBER(VLOOKUP($AT69,STData!$O$10:$P$103,2,FALSE)),AT69,AU70)</f>
        <v>36</v>
      </c>
      <c r="AZ69" t="s">
        <v>1227</v>
      </c>
    </row>
    <row r="70" spans="1:52" ht="12.75">
      <c r="A70" s="64">
        <f>VLOOKUP(AT69,STData!$O$10:$AA$103,13,FALSE)</f>
        <v>39563</v>
      </c>
      <c r="B70" s="13" t="str">
        <f>VLOOKUP($AT69,STData!$O$10:$Z$103,3,FALSE)</f>
        <v>Uae</v>
      </c>
      <c r="C70" s="7">
        <f>VLOOKUP($AT69,STData!$O$10:$Z$103,MATCH(AW$8,STData!$R$7:$Z$7,0)+3,FALSE)</f>
        <v>13432.11922148362</v>
      </c>
      <c r="D70" s="8">
        <f>VLOOKUP($AT69,STData!$O$10:$Z$103,MATCH(AX$8,STData!$R$7:$Z$7,0)+3,FALSE)</f>
        <v>15421.343124825298</v>
      </c>
      <c r="E70" s="9">
        <f>VLOOKUP($AT69,STData!$O$10:$Z$103,MATCH(AY$8,STData!$R$7:$Z$7,0)+3,FALSE)</f>
        <v>18199.725621831938</v>
      </c>
      <c r="F70" s="7">
        <f>VLOOKUP($AT69,STData!$O$10:$Z$103,MATCH(AZ$8,STData!$R$7:$Z$7,0)+3,FALSE)</f>
        <v>7124.292945223686</v>
      </c>
      <c r="G70" s="8">
        <f>VLOOKUP($AT69,STData!$O$10:$Z$103,MATCH(BA$8,STData!$R$7:$Z$7,0)+3,FALSE)</f>
        <v>8212.787557175358</v>
      </c>
      <c r="H70" s="9">
        <f>VLOOKUP($AT69,STData!$O$10:$Z$103,MATCH(BB$8,STData!$R$7:$Z$7,0)+3,FALSE)</f>
        <v>9674.091573720476</v>
      </c>
      <c r="I70" s="7">
        <f>VLOOKUP($AT69,STData!$O$10:$Z$103,MATCH(BC$8,STData!$R$7:$Z$7,0)+3,FALSE)</f>
        <v>3159.451321189725</v>
      </c>
      <c r="J70" s="8">
        <f>VLOOKUP($AT69,STData!$O$10:$Z$103,MATCH(BD$8,STData!$R$7:$Z$7,0)+3,FALSE)</f>
        <v>3880.579001607707</v>
      </c>
      <c r="K70" s="9">
        <f>VLOOKUP($AT69,STData!$O$10:$Z$103,MATCH(BE$8,STData!$R$7:$Z$7,0)+3,FALSE)</f>
        <v>4547.2819514281055</v>
      </c>
      <c r="L70" s="26"/>
      <c r="AT70">
        <f t="shared" si="0"/>
        <v>35</v>
      </c>
      <c r="AU70">
        <f>IF(ISNUMBER(VLOOKUP($AT70,STData!$O$10:$P$103,2,FALSE)),AT70,AU71)</f>
        <v>35</v>
      </c>
      <c r="AZ70" t="s">
        <v>1003</v>
      </c>
    </row>
    <row r="71" spans="1:52" ht="12.75">
      <c r="A71" s="64">
        <f>VLOOKUP(AT70,STData!$O$10:$AA$103,13,FALSE)</f>
        <v>39563</v>
      </c>
      <c r="B71" s="13" t="str">
        <f>VLOOKUP($AT70,STData!$O$10:$Z$103,3,FALSE)</f>
        <v>Israel</v>
      </c>
      <c r="C71" s="7">
        <f>VLOOKUP($AT70,STData!$O$10:$Z$103,MATCH(AW$8,STData!$R$7:$Z$7,0)+3,FALSE)</f>
        <v>13442.085640000001</v>
      </c>
      <c r="D71" s="8">
        <f>VLOOKUP($AT70,STData!$O$10:$Z$103,MATCH(AX$8,STData!$R$7:$Z$7,0)+3,FALSE)</f>
        <v>15433.085640000001</v>
      </c>
      <c r="E71" s="9">
        <f>VLOOKUP($AT70,STData!$O$10:$Z$103,MATCH(AY$8,STData!$R$7:$Z$7,0)+3,FALSE)</f>
        <v>18212.08564</v>
      </c>
      <c r="F71" s="7">
        <f>VLOOKUP($AT70,STData!$O$10:$Z$103,MATCH(AZ$8,STData!$R$7:$Z$7,0)+3,FALSE)</f>
        <v>7128.08564</v>
      </c>
      <c r="G71" s="8">
        <f>VLOOKUP($AT70,STData!$O$10:$Z$103,MATCH(BA$8,STData!$R$7:$Z$7,0)+3,FALSE)</f>
        <v>8218.085640000001</v>
      </c>
      <c r="H71" s="9">
        <f>VLOOKUP($AT70,STData!$O$10:$Z$103,MATCH(BB$8,STData!$R$7:$Z$7,0)+3,FALSE)</f>
        <v>9681.085640000001</v>
      </c>
      <c r="I71" s="7">
        <f>VLOOKUP($AT70,STData!$O$10:$Z$103,MATCH(BC$8,STData!$R$7:$Z$7,0)+3,FALSE)</f>
        <v>3160.08564</v>
      </c>
      <c r="J71" s="8">
        <f>VLOOKUP($AT70,STData!$O$10:$Z$103,MATCH(BD$8,STData!$R$7:$Z$7,0)+3,FALSE)</f>
        <v>3881.08564</v>
      </c>
      <c r="K71" s="9">
        <f>VLOOKUP($AT70,STData!$O$10:$Z$103,MATCH(BE$8,STData!$R$7:$Z$7,0)+3,FALSE)</f>
        <v>4549.08564</v>
      </c>
      <c r="L71" s="26"/>
      <c r="AT71">
        <f t="shared" si="0"/>
        <v>34</v>
      </c>
      <c r="AU71">
        <f>IF(ISNUMBER(VLOOKUP($AT71,STData!$O$10:$P$103,2,FALSE)),AT71,AU72)</f>
        <v>34</v>
      </c>
      <c r="AZ71" t="s">
        <v>1246</v>
      </c>
    </row>
    <row r="72" spans="1:52" ht="12.75">
      <c r="A72" s="64">
        <f>VLOOKUP(AT71,STData!$O$10:$AA$103,13,FALSE)</f>
        <v>39563</v>
      </c>
      <c r="B72" s="13" t="str">
        <f>VLOOKUP($AT71,STData!$O$10:$Z$103,3,FALSE)</f>
        <v>Lebanon</v>
      </c>
      <c r="C72" s="7">
        <f>VLOOKUP($AT71,STData!$O$10:$Z$103,MATCH(AW$8,STData!$R$7:$Z$7,0)+3,FALSE)</f>
        <v>13442.08708</v>
      </c>
      <c r="D72" s="8">
        <f>VLOOKUP($AT71,STData!$O$10:$Z$103,MATCH(AX$8,STData!$R$7:$Z$7,0)+3,FALSE)</f>
        <v>15433.08708</v>
      </c>
      <c r="E72" s="9">
        <f>VLOOKUP($AT71,STData!$O$10:$Z$103,MATCH(AY$8,STData!$R$7:$Z$7,0)+3,FALSE)</f>
        <v>18212.08708</v>
      </c>
      <c r="F72" s="7">
        <f>VLOOKUP($AT71,STData!$O$10:$Z$103,MATCH(AZ$8,STData!$R$7:$Z$7,0)+3,FALSE)</f>
        <v>7128.08708</v>
      </c>
      <c r="G72" s="8">
        <f>VLOOKUP($AT71,STData!$O$10:$Z$103,MATCH(BA$8,STData!$R$7:$Z$7,0)+3,FALSE)</f>
        <v>8218.08708</v>
      </c>
      <c r="H72" s="9">
        <f>VLOOKUP($AT71,STData!$O$10:$Z$103,MATCH(BB$8,STData!$R$7:$Z$7,0)+3,FALSE)</f>
        <v>9681.08708</v>
      </c>
      <c r="I72" s="7">
        <f>VLOOKUP($AT71,STData!$O$10:$Z$103,MATCH(BC$8,STData!$R$7:$Z$7,0)+3,FALSE)</f>
        <v>3160.08708</v>
      </c>
      <c r="J72" s="8">
        <f>VLOOKUP($AT71,STData!$O$10:$Z$103,MATCH(BD$8,STData!$R$7:$Z$7,0)+3,FALSE)</f>
        <v>3881.08708</v>
      </c>
      <c r="K72" s="9">
        <f>VLOOKUP($AT71,STData!$O$10:$Z$103,MATCH(BE$8,STData!$R$7:$Z$7,0)+3,FALSE)</f>
        <v>4549.08708</v>
      </c>
      <c r="L72" s="26"/>
      <c r="AT72">
        <f t="shared" si="0"/>
        <v>33</v>
      </c>
      <c r="AU72">
        <f>IF(ISNUMBER(VLOOKUP($AT72,STData!$O$10:$P$103,2,FALSE)),AT72,AU73)</f>
        <v>33</v>
      </c>
      <c r="AZ72" t="s">
        <v>1029</v>
      </c>
    </row>
    <row r="73" spans="1:52" ht="12.75">
      <c r="A73" s="64">
        <f>VLOOKUP(AT72,STData!$O$10:$AA$103,13,FALSE)</f>
        <v>39563</v>
      </c>
      <c r="B73" s="13" t="str">
        <f>VLOOKUP($AT72,STData!$O$10:$Z$103,3,FALSE)</f>
        <v>Ukraine</v>
      </c>
      <c r="C73" s="7">
        <f>VLOOKUP($AT72,STData!$O$10:$Z$103,MATCH(AW$8,STData!$R$7:$Z$7,0)+3,FALSE)</f>
        <v>13442.09684</v>
      </c>
      <c r="D73" s="8">
        <f>VLOOKUP($AT72,STData!$O$10:$Z$103,MATCH(AX$8,STData!$R$7:$Z$7,0)+3,FALSE)</f>
        <v>15433.09684</v>
      </c>
      <c r="E73" s="9">
        <f>VLOOKUP($AT72,STData!$O$10:$Z$103,MATCH(AY$8,STData!$R$7:$Z$7,0)+3,FALSE)</f>
        <v>18212.09684</v>
      </c>
      <c r="F73" s="7">
        <f>VLOOKUP($AT72,STData!$O$10:$Z$103,MATCH(AZ$8,STData!$R$7:$Z$7,0)+3,FALSE)</f>
        <v>6995.09684</v>
      </c>
      <c r="G73" s="8">
        <f>VLOOKUP($AT72,STData!$O$10:$Z$103,MATCH(BA$8,STData!$R$7:$Z$7,0)+3,FALSE)</f>
        <v>8057.09684</v>
      </c>
      <c r="H73" s="9">
        <f>VLOOKUP($AT72,STData!$O$10:$Z$103,MATCH(BB$8,STData!$R$7:$Z$7,0)+3,FALSE)</f>
        <v>9520.09684</v>
      </c>
      <c r="I73" s="7">
        <f>VLOOKUP($AT72,STData!$O$10:$Z$103,MATCH(BC$8,STData!$R$7:$Z$7,0)+3,FALSE)</f>
        <v>3153.0968399999997</v>
      </c>
      <c r="J73" s="8">
        <f>VLOOKUP($AT72,STData!$O$10:$Z$103,MATCH(BD$8,STData!$R$7:$Z$7,0)+3,FALSE)</f>
        <v>3708.0968399999997</v>
      </c>
      <c r="K73" s="9">
        <f>VLOOKUP($AT72,STData!$O$10:$Z$103,MATCH(BE$8,STData!$R$7:$Z$7,0)+3,FALSE)</f>
        <v>4189.09684</v>
      </c>
      <c r="L73" s="26"/>
      <c r="AT73">
        <f t="shared" si="0"/>
        <v>32</v>
      </c>
      <c r="AU73">
        <f>IF(ISNUMBER(VLOOKUP($AT73,STData!$O$10:$P$103,2,FALSE)),AT73,AU74)</f>
        <v>32</v>
      </c>
      <c r="AZ73" t="s">
        <v>1004</v>
      </c>
    </row>
    <row r="74" spans="1:52" ht="12.75">
      <c r="A74" s="64">
        <f>VLOOKUP(AT73,STData!$O$10:$AA$103,13,FALSE)</f>
        <v>39563</v>
      </c>
      <c r="B74" s="13" t="str">
        <f>VLOOKUP($AT73,STData!$O$10:$Z$103,3,FALSE)</f>
        <v>Singapore</v>
      </c>
      <c r="C74" s="7">
        <f>VLOOKUP($AT73,STData!$O$10:$Z$103,MATCH(AW$8,STData!$R$7:$Z$7,0)+3,FALSE)</f>
        <v>13485.779445808494</v>
      </c>
      <c r="D74" s="8">
        <f>VLOOKUP($AT73,STData!$O$10:$Z$103,MATCH(AX$8,STData!$R$7:$Z$7,0)+3,FALSE)</f>
        <v>15514.188954898063</v>
      </c>
      <c r="E74" s="9">
        <f>VLOOKUP($AT73,STData!$O$10:$Z$103,MATCH(AY$8,STData!$R$7:$Z$7,0)+3,FALSE)</f>
        <v>18213.82831605211</v>
      </c>
      <c r="F74" s="7">
        <f>VLOOKUP($AT73,STData!$O$10:$Z$103,MATCH(AZ$8,STData!$R$7:$Z$7,0)+3,FALSE)</f>
        <v>8500.867397527049</v>
      </c>
      <c r="G74" s="8">
        <f>VLOOKUP($AT73,STData!$O$10:$Z$103,MATCH(BA$8,STData!$R$7:$Z$7,0)+3,FALSE)</f>
        <v>9796.223252388312</v>
      </c>
      <c r="H74" s="9">
        <f>VLOOKUP($AT73,STData!$O$10:$Z$103,MATCH(BB$8,STData!$R$7:$Z$7,0)+3,FALSE)</f>
        <v>11577.337552822552</v>
      </c>
      <c r="I74" s="7">
        <f>VLOOKUP($AT73,STData!$O$10:$Z$103,MATCH(BC$8,STData!$R$7:$Z$7,0)+3,FALSE)</f>
        <v>3864.082235239567</v>
      </c>
      <c r="J74" s="8">
        <f>VLOOKUP($AT73,STData!$O$10:$Z$103,MATCH(BD$8,STData!$R$7:$Z$7,0)+3,FALSE)</f>
        <v>4482.320256877898</v>
      </c>
      <c r="K74" s="9">
        <f>VLOOKUP($AT73,STData!$O$10:$Z$103,MATCH(BE$8,STData!$R$7:$Z$7,0)+3,FALSE)</f>
        <v>5181.518019445058</v>
      </c>
      <c r="L74" s="26"/>
      <c r="AT74">
        <f t="shared" si="0"/>
        <v>31</v>
      </c>
      <c r="AU74">
        <f>IF(ISNUMBER(VLOOKUP($AT74,STData!$O$10:$P$103,2,FALSE)),AT74,AU75)</f>
        <v>31</v>
      </c>
      <c r="AZ74" t="s">
        <v>1399</v>
      </c>
    </row>
    <row r="75" spans="1:52" ht="12.75">
      <c r="A75" s="64">
        <f>VLOOKUP(AT74,STData!$O$10:$AA$103,13,FALSE)</f>
        <v>39563</v>
      </c>
      <c r="B75" s="13" t="str">
        <f>VLOOKUP($AT74,STData!$O$10:$Z$103,3,FALSE)</f>
        <v>Egypt</v>
      </c>
      <c r="C75" s="7">
        <f>VLOOKUP($AT74,STData!$O$10:$Z$103,MATCH(AW$8,STData!$R$7:$Z$7,0)+3,FALSE)</f>
        <v>13995.961233242928</v>
      </c>
      <c r="D75" s="8">
        <f>VLOOKUP($AT74,STData!$O$10:$Z$103,MATCH(AX$8,STData!$R$7:$Z$7,0)+3,FALSE)</f>
        <v>16069.08750912511</v>
      </c>
      <c r="E75" s="9">
        <f>VLOOKUP($AT74,STData!$O$10:$Z$103,MATCH(AY$8,STData!$R$7:$Z$7,0)+3,FALSE)</f>
        <v>18963.152834292796</v>
      </c>
      <c r="F75" s="7">
        <f>VLOOKUP($AT74,STData!$O$10:$Z$103,MATCH(AZ$8,STData!$R$7:$Z$7,0)+3,FALSE)</f>
        <v>7422.433965818023</v>
      </c>
      <c r="G75" s="8">
        <f>VLOOKUP($AT74,STData!$O$10:$Z$103,MATCH(BA$8,STData!$R$7:$Z$7,0)+3,FALSE)</f>
        <v>8556.32868731117</v>
      </c>
      <c r="H75" s="9">
        <f>VLOOKUP($AT74,STData!$O$10:$Z$103,MATCH(BB$8,STData!$R$7:$Z$7,0)+3,FALSE)</f>
        <v>10079.914280778652</v>
      </c>
      <c r="I75" s="7">
        <f>VLOOKUP($AT74,STData!$O$10:$Z$103,MATCH(BC$8,STData!$R$7:$Z$7,0)+3,FALSE)</f>
        <v>3290.0338491659377</v>
      </c>
      <c r="J75" s="8">
        <f>VLOOKUP($AT74,STData!$O$10:$Z$103,MATCH(BD$8,STData!$R$7:$Z$7,0)+3,FALSE)</f>
        <v>4041.3461851239426</v>
      </c>
      <c r="K75" s="9">
        <f>VLOOKUP($AT74,STData!$O$10:$Z$103,MATCH(BE$8,STData!$R$7:$Z$7,0)+3,FALSE)</f>
        <v>4737.066511749782</v>
      </c>
      <c r="L75" s="26"/>
      <c r="AT75">
        <f t="shared" si="0"/>
        <v>30</v>
      </c>
      <c r="AU75">
        <f>IF(ISNUMBER(VLOOKUP($AT75,STData!$O$10:$P$103,2,FALSE)),AT75,AU76)</f>
        <v>30</v>
      </c>
      <c r="AZ75" t="s">
        <v>1232</v>
      </c>
    </row>
    <row r="76" spans="1:52" ht="12.75">
      <c r="A76" s="64">
        <f>VLOOKUP(AT75,STData!$O$10:$AA$103,13,FALSE)</f>
        <v>39563</v>
      </c>
      <c r="B76" s="13" t="str">
        <f>VLOOKUP($AT75,STData!$O$10:$Z$103,3,FALSE)</f>
        <v>Australia</v>
      </c>
      <c r="C76" s="7">
        <f>VLOOKUP($AT75,STData!$O$10:$Z$103,MATCH(AW$8,STData!$R$7:$Z$7,0)+3,FALSE)</f>
        <v>15714.631664394294</v>
      </c>
      <c r="D76" s="8">
        <f>VLOOKUP($AT75,STData!$O$10:$Z$103,MATCH(AX$8,STData!$R$7:$Z$7,0)+3,FALSE)</f>
        <v>17475.915327714174</v>
      </c>
      <c r="E76" s="9">
        <f>VLOOKUP($AT75,STData!$O$10:$Z$103,MATCH(AY$8,STData!$R$7:$Z$7,0)+3,FALSE)</f>
        <v>19643.50470558787</v>
      </c>
      <c r="F76" s="7">
        <f>VLOOKUP($AT75,STData!$O$10:$Z$103,MATCH(AZ$8,STData!$R$7:$Z$7,0)+3,FALSE)</f>
        <v>9373.259796138687</v>
      </c>
      <c r="G76" s="8">
        <f>VLOOKUP($AT75,STData!$O$10:$Z$103,MATCH(BA$8,STData!$R$7:$Z$7,0)+3,FALSE)</f>
        <v>10442.979229375058</v>
      </c>
      <c r="H76" s="9">
        <f>VLOOKUP($AT75,STData!$O$10:$Z$103,MATCH(BB$8,STData!$R$7:$Z$7,0)+3,FALSE)</f>
        <v>11747.286257619404</v>
      </c>
      <c r="I76" s="7">
        <f>VLOOKUP($AT75,STData!$O$10:$Z$103,MATCH(BC$8,STData!$R$7:$Z$7,0)+3,FALSE)</f>
        <v>3030.0112271230178</v>
      </c>
      <c r="J76" s="8">
        <f>VLOOKUP($AT75,STData!$O$10:$Z$103,MATCH(BD$8,STData!$R$7:$Z$7,0)+3,FALSE)</f>
        <v>3546.1039361405647</v>
      </c>
      <c r="K76" s="9">
        <f>VLOOKUP($AT75,STData!$O$10:$Z$103,MATCH(BE$8,STData!$R$7:$Z$7,0)+3,FALSE)</f>
        <v>4137.264675560664</v>
      </c>
      <c r="L76" s="26"/>
      <c r="AT76">
        <f t="shared" si="0"/>
        <v>29</v>
      </c>
      <c r="AU76">
        <f>IF(ISNUMBER(VLOOKUP($AT76,STData!$O$10:$P$103,2,FALSE)),AT76,AU77)</f>
        <v>29</v>
      </c>
      <c r="AZ76" t="s">
        <v>1400</v>
      </c>
    </row>
    <row r="77" spans="1:52" ht="12.75">
      <c r="A77" s="64">
        <f>VLOOKUP(AT76,STData!$O$10:$AA$103,13,FALSE)</f>
        <v>39563</v>
      </c>
      <c r="B77" s="13" t="str">
        <f>VLOOKUP($AT76,STData!$O$10:$Z$103,3,FALSE)</f>
        <v>Canada</v>
      </c>
      <c r="C77" s="7">
        <f>VLOOKUP($AT76,STData!$O$10:$Z$103,MATCH(AW$8,STData!$R$7:$Z$7,0)+3,FALSE)</f>
        <v>15230.831827077775</v>
      </c>
      <c r="D77" s="8">
        <f>VLOOKUP($AT76,STData!$O$10:$Z$103,MATCH(AX$8,STData!$R$7:$Z$7,0)+3,FALSE)</f>
        <v>17513.666099239053</v>
      </c>
      <c r="E77" s="9">
        <f>VLOOKUP($AT76,STData!$O$10:$Z$103,MATCH(AY$8,STData!$R$7:$Z$7,0)+3,FALSE)</f>
        <v>20557.44512878743</v>
      </c>
      <c r="F77" s="7">
        <f>VLOOKUP($AT76,STData!$O$10:$Z$103,MATCH(AZ$8,STData!$R$7:$Z$7,0)+3,FALSE)</f>
        <v>9960.548202213657</v>
      </c>
      <c r="G77" s="8">
        <f>VLOOKUP($AT76,STData!$O$10:$Z$103,MATCH(BA$8,STData!$R$7:$Z$7,0)+3,FALSE)</f>
        <v>11983.475368929736</v>
      </c>
      <c r="H77" s="9">
        <f>VLOOKUP($AT76,STData!$O$10:$Z$103,MATCH(BB$8,STData!$R$7:$Z$7,0)+3,FALSE)</f>
        <v>13488.564804644728</v>
      </c>
      <c r="I77" s="7">
        <f>VLOOKUP($AT76,STData!$O$10:$Z$103,MATCH(BC$8,STData!$R$7:$Z$7,0)+3,FALSE)</f>
        <v>4681.370417847614</v>
      </c>
      <c r="J77" s="8">
        <f>VLOOKUP($AT76,STData!$O$10:$Z$103,MATCH(BD$8,STData!$R$7:$Z$7,0)+3,FALSE)</f>
        <v>5342.502940824193</v>
      </c>
      <c r="K77" s="9">
        <f>VLOOKUP($AT76,STData!$O$10:$Z$103,MATCH(BE$8,STData!$R$7:$Z$7,0)+3,FALSE)</f>
        <v>6106.412418045262</v>
      </c>
      <c r="L77" s="26"/>
      <c r="AT77">
        <f aca="true" t="shared" si="1" ref="AT77:AT88">AT76-1</f>
        <v>28</v>
      </c>
      <c r="AU77">
        <f>IF(ISNUMBER(VLOOKUP($AT77,STData!$O$10:$P$103,2,FALSE)),AT77,AU78)</f>
        <v>28</v>
      </c>
      <c r="AZ77" t="s">
        <v>1005</v>
      </c>
    </row>
    <row r="78" spans="1:52" ht="12.75">
      <c r="A78" s="64">
        <f>VLOOKUP(AT77,STData!$O$10:$AA$103,13,FALSE)</f>
        <v>39563</v>
      </c>
      <c r="B78" s="13" t="str">
        <f>VLOOKUP($AT77,STData!$O$10:$Z$103,3,FALSE)</f>
        <v>Denmark</v>
      </c>
      <c r="C78" s="7">
        <f>VLOOKUP($AT77,STData!$O$10:$Z$103,MATCH(AW$8,STData!$R$7:$Z$7,0)+3,FALSE)</f>
        <v>15575.12752775572</v>
      </c>
      <c r="D78" s="8">
        <f>VLOOKUP($AT77,STData!$O$10:$Z$103,MATCH(AX$8,STData!$R$7:$Z$7,0)+3,FALSE)</f>
        <v>17882.38812348625</v>
      </c>
      <c r="E78" s="9">
        <f>VLOOKUP($AT77,STData!$O$10:$Z$103,MATCH(AY$8,STData!$R$7:$Z$7,0)+3,FALSE)</f>
        <v>21102.159891762454</v>
      </c>
      <c r="F78" s="7">
        <f>VLOOKUP($AT77,STData!$O$10:$Z$103,MATCH(AZ$8,STData!$R$7:$Z$7,0)+3,FALSE)</f>
        <v>8035.997635220022</v>
      </c>
      <c r="G78" s="8">
        <f>VLOOKUP($AT77,STData!$O$10:$Z$103,MATCH(BA$8,STData!$R$7:$Z$7,0)+3,FALSE)</f>
        <v>9272.772459057554</v>
      </c>
      <c r="H78" s="9">
        <f>VLOOKUP($AT77,STData!$O$10:$Z$103,MATCH(BB$8,STData!$R$7:$Z$7,0)+3,FALSE)</f>
        <v>10925.269912756447</v>
      </c>
      <c r="I78" s="7">
        <f>VLOOKUP($AT77,STData!$O$10:$Z$103,MATCH(BC$8,STData!$R$7:$Z$7,0)+3,FALSE)</f>
        <v>3635.573598137563</v>
      </c>
      <c r="J78" s="8">
        <f>VLOOKUP($AT77,STData!$O$10:$Z$103,MATCH(BD$8,STData!$R$7:$Z$7,0)+3,FALSE)</f>
        <v>4433.761047471368</v>
      </c>
      <c r="K78" s="9">
        <f>VLOOKUP($AT77,STData!$O$10:$Z$103,MATCH(BE$8,STData!$R$7:$Z$7,0)+3,FALSE)</f>
        <v>5194.53346011765</v>
      </c>
      <c r="L78" s="26"/>
      <c r="AT78">
        <f t="shared" si="1"/>
        <v>27</v>
      </c>
      <c r="AU78">
        <f>IF(ISNUMBER(VLOOKUP($AT78,STData!$O$10:$P$103,2,FALSE)),AT78,AU79)</f>
        <v>27</v>
      </c>
      <c r="AZ78" t="s">
        <v>1247</v>
      </c>
    </row>
    <row r="79" spans="1:52" ht="12.75">
      <c r="A79" s="64">
        <f>VLOOKUP(AT78,STData!$O$10:$AA$103,13,FALSE)</f>
        <v>39563</v>
      </c>
      <c r="B79" s="13" t="str">
        <f>VLOOKUP($AT78,STData!$O$10:$Z$103,3,FALSE)</f>
        <v>Bulgaria</v>
      </c>
      <c r="C79" s="7">
        <f>VLOOKUP($AT78,STData!$O$10:$Z$103,MATCH(AW$8,STData!$R$7:$Z$7,0)+3,FALSE)</f>
        <v>15553.041915790945</v>
      </c>
      <c r="D79" s="8">
        <f>VLOOKUP($AT78,STData!$O$10:$Z$103,MATCH(AX$8,STData!$R$7:$Z$7,0)+3,FALSE)</f>
        <v>17963.992296876648</v>
      </c>
      <c r="E79" s="9">
        <f>VLOOKUP($AT78,STData!$O$10:$Z$103,MATCH(AY$8,STData!$R$7:$Z$7,0)+3,FALSE)</f>
        <v>21199.332163107785</v>
      </c>
      <c r="F79" s="7">
        <f>VLOOKUP($AT78,STData!$O$10:$Z$103,MATCH(AZ$8,STData!$R$7:$Z$7,0)+3,FALSE)</f>
        <v>8306.191705804946</v>
      </c>
      <c r="G79" s="8">
        <f>VLOOKUP($AT78,STData!$O$10:$Z$103,MATCH(BA$8,STData!$R$7:$Z$7,0)+3,FALSE)</f>
        <v>9566.107711404571</v>
      </c>
      <c r="H79" s="9">
        <f>VLOOKUP($AT78,STData!$O$10:$Z$103,MATCH(BB$8,STData!$R$7:$Z$7,0)+3,FALSE)</f>
        <v>11277.10475604604</v>
      </c>
      <c r="I79" s="7">
        <f>VLOOKUP($AT78,STData!$O$10:$Z$103,MATCH(BC$8,STData!$R$7:$Z$7,0)+3,FALSE)</f>
        <v>3686.4996852729814</v>
      </c>
      <c r="J79" s="8">
        <f>VLOOKUP($AT78,STData!$O$10:$Z$103,MATCH(BD$8,STData!$R$7:$Z$7,0)+3,FALSE)</f>
        <v>4526.443689006065</v>
      </c>
      <c r="K79" s="9">
        <f>VLOOKUP($AT78,STData!$O$10:$Z$103,MATCH(BE$8,STData!$R$7:$Z$7,0)+3,FALSE)</f>
        <v>5304.1696183885515</v>
      </c>
      <c r="L79" s="26"/>
      <c r="AT79">
        <f t="shared" si="1"/>
        <v>26</v>
      </c>
      <c r="AU79">
        <f>IF(ISNUMBER(VLOOKUP($AT79,STData!$O$10:$P$103,2,FALSE)),AT79,AU80)</f>
        <v>26</v>
      </c>
      <c r="AZ79" t="s">
        <v>1006</v>
      </c>
    </row>
    <row r="80" spans="1:52" ht="12.75">
      <c r="A80" s="64">
        <f>VLOOKUP(AT79,STData!$O$10:$AA$103,13,FALSE)</f>
        <v>39563</v>
      </c>
      <c r="B80" s="13" t="str">
        <f>VLOOKUP($AT79,STData!$O$10:$Z$103,3,FALSE)</f>
        <v>Croatia</v>
      </c>
      <c r="C80" s="7">
        <f>VLOOKUP($AT79,STData!$O$10:$Z$103,MATCH(AW$8,STData!$R$7:$Z$7,0)+3,FALSE)</f>
        <v>15553.042645790943</v>
      </c>
      <c r="D80" s="8">
        <f>VLOOKUP($AT79,STData!$O$10:$Z$103,MATCH(AX$8,STData!$R$7:$Z$7,0)+3,FALSE)</f>
        <v>17963.99302687665</v>
      </c>
      <c r="E80" s="9">
        <f>VLOOKUP($AT79,STData!$O$10:$Z$103,MATCH(AY$8,STData!$R$7:$Z$7,0)+3,FALSE)</f>
        <v>21199.33289310779</v>
      </c>
      <c r="F80" s="7">
        <f>VLOOKUP($AT79,STData!$O$10:$Z$103,MATCH(AZ$8,STData!$R$7:$Z$7,0)+3,FALSE)</f>
        <v>8306.192435804944</v>
      </c>
      <c r="G80" s="8">
        <f>VLOOKUP($AT79,STData!$O$10:$Z$103,MATCH(BA$8,STData!$R$7:$Z$7,0)+3,FALSE)</f>
        <v>9566.108441404569</v>
      </c>
      <c r="H80" s="9">
        <f>VLOOKUP($AT79,STData!$O$10:$Z$103,MATCH(BB$8,STData!$R$7:$Z$7,0)+3,FALSE)</f>
        <v>11277.105486046037</v>
      </c>
      <c r="I80" s="7">
        <f>VLOOKUP($AT79,STData!$O$10:$Z$103,MATCH(BC$8,STData!$R$7:$Z$7,0)+3,FALSE)</f>
        <v>3686.5004152729816</v>
      </c>
      <c r="J80" s="8">
        <f>VLOOKUP($AT79,STData!$O$10:$Z$103,MATCH(BD$8,STData!$R$7:$Z$7,0)+3,FALSE)</f>
        <v>4526.444419006066</v>
      </c>
      <c r="K80" s="9">
        <f>VLOOKUP($AT79,STData!$O$10:$Z$103,MATCH(BE$8,STData!$R$7:$Z$7,0)+3,FALSE)</f>
        <v>5304.170348388552</v>
      </c>
      <c r="L80" s="26"/>
      <c r="AT80">
        <f t="shared" si="1"/>
        <v>25</v>
      </c>
      <c r="AU80">
        <f>IF(ISNUMBER(VLOOKUP($AT80,STData!$O$10:$P$103,2,FALSE)),AT80,AU81)</f>
        <v>25</v>
      </c>
      <c r="AZ80" t="s">
        <v>1244</v>
      </c>
    </row>
    <row r="81" spans="1:52" ht="12.75">
      <c r="A81" s="64">
        <f>VLOOKUP(AT80,STData!$O$10:$AA$103,13,FALSE)</f>
        <v>39563</v>
      </c>
      <c r="B81" s="13" t="str">
        <f>VLOOKUP($AT80,STData!$O$10:$Z$103,3,FALSE)</f>
        <v>Slovenia</v>
      </c>
      <c r="C81" s="7">
        <f>VLOOKUP($AT80,STData!$O$10:$Z$103,MATCH(AW$8,STData!$R$7:$Z$7,0)+3,FALSE)</f>
        <v>15553.058045790945</v>
      </c>
      <c r="D81" s="8">
        <f>VLOOKUP($AT80,STData!$O$10:$Z$103,MATCH(AX$8,STData!$R$7:$Z$7,0)+3,FALSE)</f>
        <v>17964.00842687665</v>
      </c>
      <c r="E81" s="9">
        <f>VLOOKUP($AT80,STData!$O$10:$Z$103,MATCH(AY$8,STData!$R$7:$Z$7,0)+3,FALSE)</f>
        <v>21199.34829310779</v>
      </c>
      <c r="F81" s="7">
        <f>VLOOKUP($AT80,STData!$O$10:$Z$103,MATCH(AZ$8,STData!$R$7:$Z$7,0)+3,FALSE)</f>
        <v>8306.207835804946</v>
      </c>
      <c r="G81" s="8">
        <f>VLOOKUP($AT80,STData!$O$10:$Z$103,MATCH(BA$8,STData!$R$7:$Z$7,0)+3,FALSE)</f>
        <v>9566.123841404571</v>
      </c>
      <c r="H81" s="9">
        <f>VLOOKUP($AT80,STData!$O$10:$Z$103,MATCH(BB$8,STData!$R$7:$Z$7,0)+3,FALSE)</f>
        <v>11277.12088604604</v>
      </c>
      <c r="I81" s="7">
        <f>VLOOKUP($AT80,STData!$O$10:$Z$103,MATCH(BC$8,STData!$R$7:$Z$7,0)+3,FALSE)</f>
        <v>3686.515815272982</v>
      </c>
      <c r="J81" s="8">
        <f>VLOOKUP($AT80,STData!$O$10:$Z$103,MATCH(BD$8,STData!$R$7:$Z$7,0)+3,FALSE)</f>
        <v>4526.459819006065</v>
      </c>
      <c r="K81" s="9">
        <f>VLOOKUP($AT80,STData!$O$10:$Z$103,MATCH(BE$8,STData!$R$7:$Z$7,0)+3,FALSE)</f>
        <v>5304.1857483885515</v>
      </c>
      <c r="L81" s="26"/>
      <c r="AT81">
        <f t="shared" si="1"/>
        <v>24</v>
      </c>
      <c r="AU81">
        <f>IF(ISNUMBER(VLOOKUP($AT81,STData!$O$10:$P$103,2,FALSE)),AT81,AU82)</f>
        <v>24</v>
      </c>
      <c r="AZ81" t="s">
        <v>1007</v>
      </c>
    </row>
    <row r="82" spans="1:52" ht="12.75">
      <c r="A82" s="64">
        <f>VLOOKUP(AT81,STData!$O$10:$AA$103,13,FALSE)</f>
        <v>39563</v>
      </c>
      <c r="B82" s="13" t="str">
        <f>VLOOKUP($AT81,STData!$O$10:$Z$103,3,FALSE)</f>
        <v>Latvia</v>
      </c>
      <c r="C82" s="7">
        <f>VLOOKUP($AT81,STData!$O$10:$Z$103,MATCH(AW$8,STData!$R$7:$Z$7,0)+3,FALSE)</f>
        <v>15856.83708508648</v>
      </c>
      <c r="D82" s="8">
        <f>VLOOKUP($AT81,STData!$O$10:$Z$103,MATCH(AX$8,STData!$R$7:$Z$7,0)+3,FALSE)</f>
        <v>18185.692382121655</v>
      </c>
      <c r="E82" s="9">
        <f>VLOOKUP($AT81,STData!$O$10:$Z$103,MATCH(AY$8,STData!$R$7:$Z$7,0)+3,FALSE)</f>
        <v>21455.369679188425</v>
      </c>
      <c r="F82" s="7">
        <f>VLOOKUP($AT81,STData!$O$10:$Z$103,MATCH(AZ$8,STData!$R$7:$Z$7,0)+3,FALSE)</f>
        <v>8376.660490921353</v>
      </c>
      <c r="G82" s="8">
        <f>VLOOKUP($AT81,STData!$O$10:$Z$103,MATCH(BA$8,STData!$R$7:$Z$7,0)+3,FALSE)</f>
        <v>9674.856639968093</v>
      </c>
      <c r="H82" s="9">
        <f>VLOOKUP($AT81,STData!$O$10:$Z$103,MATCH(BB$8,STData!$R$7:$Z$7,0)+3,FALSE)</f>
        <v>11377.8135655237</v>
      </c>
      <c r="I82" s="7">
        <f>VLOOKUP($AT81,STData!$O$10:$Z$103,MATCH(BC$8,STData!$R$7:$Z$7,0)+3,FALSE)</f>
        <v>3785.0937310609866</v>
      </c>
      <c r="J82" s="8">
        <f>VLOOKUP($AT81,STData!$O$10:$Z$103,MATCH(BD$8,STData!$R$7:$Z$7,0)+3,FALSE)</f>
        <v>4457.391508628157</v>
      </c>
      <c r="K82" s="9">
        <f>VLOOKUP($AT81,STData!$O$10:$Z$103,MATCH(BE$8,STData!$R$7:$Z$7,0)+3,FALSE)</f>
        <v>5218.539212746055</v>
      </c>
      <c r="L82" s="26"/>
      <c r="AT82">
        <f t="shared" si="1"/>
        <v>23</v>
      </c>
      <c r="AU82">
        <f>IF(ISNUMBER(VLOOKUP($AT82,STData!$O$10:$P$103,2,FALSE)),AT82,AU83)</f>
        <v>23</v>
      </c>
      <c r="AZ82" t="s">
        <v>1008</v>
      </c>
    </row>
    <row r="83" spans="1:52" ht="12.75">
      <c r="A83" s="64">
        <f>VLOOKUP(AT82,STData!$O$10:$AA$103,13,FALSE)</f>
        <v>39563</v>
      </c>
      <c r="B83" s="13" t="str">
        <f>VLOOKUP($AT82,STData!$O$10:$Z$103,3,FALSE)</f>
        <v>Switzerland</v>
      </c>
      <c r="C83" s="7">
        <f>VLOOKUP($AT82,STData!$O$10:$Z$103,MATCH(AW$8,STData!$R$7:$Z$7,0)+3,FALSE)</f>
        <v>15944.769852603018</v>
      </c>
      <c r="D83" s="8">
        <f>VLOOKUP($AT82,STData!$O$10:$Z$103,MATCH(AX$8,STData!$R$7:$Z$7,0)+3,FALSE)</f>
        <v>18250.023910810683</v>
      </c>
      <c r="E83" s="9">
        <f>VLOOKUP($AT82,STData!$O$10:$Z$103,MATCH(AY$8,STData!$R$7:$Z$7,0)+3,FALSE)</f>
        <v>21611.852745696862</v>
      </c>
      <c r="F83" s="7">
        <f>VLOOKUP($AT82,STData!$O$10:$Z$103,MATCH(AZ$8,STData!$R$7:$Z$7,0)+3,FALSE)</f>
        <v>9029.007677980024</v>
      </c>
      <c r="G83" s="8">
        <f>VLOOKUP($AT82,STData!$O$10:$Z$103,MATCH(BA$8,STData!$R$7:$Z$7,0)+3,FALSE)</f>
        <v>10373.739211934495</v>
      </c>
      <c r="H83" s="9">
        <f>VLOOKUP($AT82,STData!$O$10:$Z$103,MATCH(BB$8,STData!$R$7:$Z$7,0)+3,FALSE)</f>
        <v>12294.784260440882</v>
      </c>
      <c r="I83" s="7">
        <f>VLOOKUP($AT82,STData!$O$10:$Z$103,MATCH(BC$8,STData!$R$7:$Z$7,0)+3,FALSE)</f>
        <v>4034.290551863414</v>
      </c>
      <c r="J83" s="8">
        <f>VLOOKUP($AT82,STData!$O$10:$Z$103,MATCH(BD$8,STData!$R$7:$Z$7,0)+3,FALSE)</f>
        <v>4898.760823691288</v>
      </c>
      <c r="K83" s="9">
        <f>VLOOKUP($AT82,STData!$O$10:$Z$103,MATCH(BE$8,STData!$R$7:$Z$7,0)+3,FALSE)</f>
        <v>5667.178843093843</v>
      </c>
      <c r="L83" s="26"/>
      <c r="AT83">
        <f t="shared" si="1"/>
        <v>22</v>
      </c>
      <c r="AU83">
        <f>IF(ISNUMBER(VLOOKUP($AT83,STData!$O$10:$P$103,2,FALSE)),AT83,AU84)</f>
        <v>22</v>
      </c>
      <c r="AZ83" t="s">
        <v>1222</v>
      </c>
    </row>
    <row r="84" spans="1:52" ht="12.75">
      <c r="A84" s="64">
        <f>VLOOKUP(AT83,STData!$O$10:$AA$103,13,FALSE)</f>
        <v>39563</v>
      </c>
      <c r="B84" s="13" t="str">
        <f>VLOOKUP($AT83,STData!$O$10:$Z$103,3,FALSE)</f>
        <v>Turkey</v>
      </c>
      <c r="C84" s="7">
        <f>VLOOKUP($AT83,STData!$O$10:$Z$103,MATCH(AW$8,STData!$R$7:$Z$7,0)+3,FALSE)</f>
        <v>16020.09684</v>
      </c>
      <c r="D84" s="8">
        <f>VLOOKUP($AT83,STData!$O$10:$Z$103,MATCH(AX$8,STData!$R$7:$Z$7,0)+3,FALSE)</f>
        <v>18393.09684</v>
      </c>
      <c r="E84" s="9">
        <f>VLOOKUP($AT83,STData!$O$10:$Z$103,MATCH(AY$8,STData!$R$7:$Z$7,0)+3,FALSE)</f>
        <v>21706.09684</v>
      </c>
      <c r="F84" s="7">
        <f>VLOOKUP($AT83,STData!$O$10:$Z$103,MATCH(AZ$8,STData!$R$7:$Z$7,0)+3,FALSE)</f>
        <v>9029.09684</v>
      </c>
      <c r="G84" s="8">
        <f>VLOOKUP($AT83,STData!$O$10:$Z$103,MATCH(BA$8,STData!$R$7:$Z$7,0)+3,FALSE)</f>
        <v>10446.09684</v>
      </c>
      <c r="H84" s="9">
        <f>VLOOKUP($AT83,STData!$O$10:$Z$103,MATCH(BB$8,STData!$R$7:$Z$7,0)+3,FALSE)</f>
        <v>12341.09684</v>
      </c>
      <c r="I84" s="7">
        <f>VLOOKUP($AT83,STData!$O$10:$Z$103,MATCH(BC$8,STData!$R$7:$Z$7,0)+3,FALSE)</f>
        <v>4012.0968399999997</v>
      </c>
      <c r="J84" s="8">
        <f>VLOOKUP($AT83,STData!$O$10:$Z$103,MATCH(BD$8,STData!$R$7:$Z$7,0)+3,FALSE)</f>
        <v>4856.09684</v>
      </c>
      <c r="K84" s="9">
        <f>VLOOKUP($AT83,STData!$O$10:$Z$103,MATCH(BE$8,STData!$R$7:$Z$7,0)+3,FALSE)</f>
        <v>5684.09684</v>
      </c>
      <c r="L84" s="26"/>
      <c r="AT84">
        <f t="shared" si="1"/>
        <v>21</v>
      </c>
      <c r="AU84">
        <f>IF(ISNUMBER(VLOOKUP($AT84,STData!$O$10:$P$103,2,FALSE)),AT84,AU85)</f>
        <v>21</v>
      </c>
      <c r="AZ84" t="s">
        <v>1248</v>
      </c>
    </row>
    <row r="85" spans="1:52" ht="12.75">
      <c r="A85" s="64">
        <f>VLOOKUP(AT84,STData!$O$10:$AA$103,13,FALSE)</f>
        <v>39563</v>
      </c>
      <c r="B85" s="13" t="str">
        <f>VLOOKUP($AT84,STData!$O$10:$Z$103,3,FALSE)</f>
        <v>Norway</v>
      </c>
      <c r="C85" s="7">
        <f>VLOOKUP($AT84,STData!$O$10:$Z$103,MATCH(AW$8,STData!$R$7:$Z$7,0)+3,FALSE)</f>
        <v>16064.072071352663</v>
      </c>
      <c r="D85" s="8">
        <f>VLOOKUP($AT84,STData!$O$10:$Z$103,MATCH(AX$8,STData!$R$7:$Z$7,0)+3,FALSE)</f>
        <v>18444.791377498288</v>
      </c>
      <c r="E85" s="9">
        <f>VLOOKUP($AT84,STData!$O$10:$Z$103,MATCH(AY$8,STData!$R$7:$Z$7,0)+3,FALSE)</f>
        <v>21765.268304490866</v>
      </c>
      <c r="F85" s="7">
        <f>VLOOKUP($AT84,STData!$O$10:$Z$103,MATCH(AZ$8,STData!$R$7:$Z$7,0)+3,FALSE)</f>
        <v>8432.457058724669</v>
      </c>
      <c r="G85" s="8">
        <f>VLOOKUP($AT84,STData!$O$10:$Z$103,MATCH(BA$8,STData!$R$7:$Z$7,0)+3,FALSE)</f>
        <v>9730.497272519528</v>
      </c>
      <c r="H85" s="9">
        <f>VLOOKUP($AT84,STData!$O$10:$Z$103,MATCH(BB$8,STData!$R$7:$Z$7,0)+3,FALSE)</f>
        <v>11463.175385956105</v>
      </c>
      <c r="I85" s="7">
        <f>VLOOKUP($AT84,STData!$O$10:$Z$103,MATCH(BC$8,STData!$R$7:$Z$7,0)+3,FALSE)</f>
        <v>3813.9399179372317</v>
      </c>
      <c r="J85" s="8">
        <f>VLOOKUP($AT84,STData!$O$10:$Z$103,MATCH(BD$8,STData!$R$7:$Z$7,0)+3,FALSE)</f>
        <v>4651.890463192435</v>
      </c>
      <c r="K85" s="9">
        <f>VLOOKUP($AT84,STData!$O$10:$Z$103,MATCH(BE$8,STData!$R$7:$Z$7,0)+3,FALSE)</f>
        <v>5454.600097665877</v>
      </c>
      <c r="L85" s="26"/>
      <c r="AT85">
        <f t="shared" si="1"/>
        <v>20</v>
      </c>
      <c r="AU85">
        <f>IF(ISNUMBER(VLOOKUP($AT85,STData!$O$10:$P$103,2,FALSE)),AT85,AU86)</f>
        <v>20</v>
      </c>
      <c r="AZ85" t="s">
        <v>1025</v>
      </c>
    </row>
    <row r="86" spans="1:52" ht="12.75">
      <c r="A86" s="64">
        <f>VLOOKUP(AT85,STData!$O$10:$AA$103,13,FALSE)</f>
        <v>39563</v>
      </c>
      <c r="B86" s="13" t="str">
        <f>VLOOKUP($AT85,STData!$O$10:$Z$103,3,FALSE)</f>
        <v>Great Britain</v>
      </c>
      <c r="C86" s="7">
        <f>VLOOKUP($AT85,STData!$O$10:$Z$103,MATCH(AW$8,STData!$R$7:$Z$7,0)+3,FALSE)</f>
        <v>16030.22419921277</v>
      </c>
      <c r="D86" s="8">
        <f>VLOOKUP($AT85,STData!$O$10:$Z$103,MATCH(AX$8,STData!$R$7:$Z$7,0)+3,FALSE)</f>
        <v>18461.316802821733</v>
      </c>
      <c r="E86" s="9">
        <f>VLOOKUP($AT85,STData!$O$10:$Z$103,MATCH(AY$8,STData!$R$7:$Z$7,0)+3,FALSE)</f>
        <v>21754.991202980367</v>
      </c>
      <c r="F86" s="7">
        <f>VLOOKUP($AT85,STData!$O$10:$Z$103,MATCH(AZ$8,STData!$R$7:$Z$7,0)+3,FALSE)</f>
        <v>8209.482577162404</v>
      </c>
      <c r="G86" s="8">
        <f>VLOOKUP($AT85,STData!$O$10:$Z$103,MATCH(BA$8,STData!$R$7:$Z$7,0)+3,FALSE)</f>
        <v>9355.625745911164</v>
      </c>
      <c r="H86" s="9">
        <f>VLOOKUP($AT85,STData!$O$10:$Z$103,MATCH(BB$8,STData!$R$7:$Z$7,0)+3,FALSE)</f>
        <v>11011.386205954788</v>
      </c>
      <c r="I86" s="7">
        <f>VLOOKUP($AT85,STData!$O$10:$Z$103,MATCH(BC$8,STData!$R$7:$Z$7,0)+3,FALSE)</f>
        <v>2934.844464927622</v>
      </c>
      <c r="J86" s="8">
        <f>VLOOKUP($AT85,STData!$O$10:$Z$103,MATCH(BD$8,STData!$R$7:$Z$7,0)+3,FALSE)</f>
        <v>3620.944008849891</v>
      </c>
      <c r="K86" s="9">
        <f>VLOOKUP($AT85,STData!$O$10:$Z$103,MATCH(BE$8,STData!$R$7:$Z$7,0)+3,FALSE)</f>
        <v>4079.004687017648</v>
      </c>
      <c r="L86" s="26"/>
      <c r="AT86">
        <f t="shared" si="1"/>
        <v>19</v>
      </c>
      <c r="AU86">
        <f>IF(ISNUMBER(VLOOKUP($AT86,STData!$O$10:$P$103,2,FALSE)),AT86,AU87)</f>
        <v>19</v>
      </c>
      <c r="AZ86" t="s">
        <v>861</v>
      </c>
    </row>
    <row r="87" spans="1:52" ht="12.75">
      <c r="A87" s="64">
        <f>VLOOKUP(AT86,STData!$O$10:$AA$103,13,FALSE)</f>
        <v>39563</v>
      </c>
      <c r="B87" s="13" t="str">
        <f>VLOOKUP($AT86,STData!$O$10:$Z$103,3,FALSE)</f>
        <v>Russia</v>
      </c>
      <c r="C87" s="7">
        <f>VLOOKUP($AT86,STData!$O$10:$Z$103,MATCH(AW$8,STData!$R$7:$Z$7,0)+3,FALSE)</f>
        <v>16135.654250000001</v>
      </c>
      <c r="D87" s="8">
        <f>VLOOKUP($AT86,STData!$O$10:$Z$103,MATCH(AX$8,STData!$R$7:$Z$7,0)+3,FALSE)</f>
        <v>18555.68105</v>
      </c>
      <c r="E87" s="9">
        <f>VLOOKUP($AT86,STData!$O$10:$Z$103,MATCH(AY$8,STData!$R$7:$Z$7,0)+3,FALSE)</f>
        <v>21782.87765</v>
      </c>
      <c r="F87" s="7">
        <f>VLOOKUP($AT86,STData!$O$10:$Z$103,MATCH(AZ$8,STData!$R$7:$Z$7,0)+3,FALSE)</f>
        <v>8212.85165</v>
      </c>
      <c r="G87" s="8">
        <f>VLOOKUP($AT86,STData!$O$10:$Z$103,MATCH(BA$8,STData!$R$7:$Z$7,0)+3,FALSE)</f>
        <v>9451.034450000001</v>
      </c>
      <c r="H87" s="9">
        <f>VLOOKUP($AT86,STData!$O$10:$Z$103,MATCH(BB$8,STData!$R$7:$Z$7,0)+3,FALSE)</f>
        <v>11175.08645</v>
      </c>
      <c r="I87" s="7">
        <f>VLOOKUP($AT86,STData!$O$10:$Z$103,MATCH(BC$8,STData!$R$7:$Z$7,0)+3,FALSE)</f>
        <v>3698.9700500000004</v>
      </c>
      <c r="J87" s="8">
        <f>VLOOKUP($AT86,STData!$O$10:$Z$103,MATCH(BD$8,STData!$R$7:$Z$7,0)+3,FALSE)</f>
        <v>4357.244450000001</v>
      </c>
      <c r="K87" s="9">
        <f>VLOOKUP($AT86,STData!$O$10:$Z$103,MATCH(BE$8,STData!$R$7:$Z$7,0)+3,FALSE)</f>
        <v>4921.479650000001</v>
      </c>
      <c r="L87" s="26"/>
      <c r="AT87">
        <f t="shared" si="1"/>
        <v>18</v>
      </c>
      <c r="AU87">
        <f>IF(ISNUMBER(VLOOKUP($AT87,STData!$O$10:$P$103,2,FALSE)),AT87,AU88)</f>
        <v>18</v>
      </c>
      <c r="AZ87" t="s">
        <v>1385</v>
      </c>
    </row>
    <row r="88" spans="1:52" ht="12.75">
      <c r="A88" s="64">
        <f>VLOOKUP(AT87,STData!$O$10:$AA$103,13,FALSE)</f>
        <v>39563</v>
      </c>
      <c r="B88" s="13" t="str">
        <f>VLOOKUP($AT87,STData!$O$10:$Z$103,3,FALSE)</f>
        <v>Cyprus</v>
      </c>
      <c r="C88" s="7">
        <f>VLOOKUP($AT87,STData!$O$10:$Z$103,MATCH(AW$8,STData!$R$7:$Z$7,0)+3,FALSE)</f>
        <v>16186.208943418833</v>
      </c>
      <c r="D88" s="8">
        <f>VLOOKUP($AT87,STData!$O$10:$Z$103,MATCH(AX$8,STData!$R$7:$Z$7,0)+3,FALSE)</f>
        <v>18567.428888349987</v>
      </c>
      <c r="E88" s="9">
        <f>VLOOKUP($AT87,STData!$O$10:$Z$103,MATCH(AY$8,STData!$R$7:$Z$7,0)+3,FALSE)</f>
        <v>21924.411893422108</v>
      </c>
      <c r="F88" s="7">
        <f>VLOOKUP($AT87,STData!$O$10:$Z$103,MATCH(AZ$8,STData!$R$7:$Z$7,0)+3,FALSE)</f>
        <v>9121.127377484834</v>
      </c>
      <c r="G88" s="8">
        <f>VLOOKUP($AT87,STData!$O$10:$Z$103,MATCH(BA$8,STData!$R$7:$Z$7,0)+3,FALSE)</f>
        <v>10556.424111209</v>
      </c>
      <c r="H88" s="9">
        <f>VLOOKUP($AT87,STData!$O$10:$Z$103,MATCH(BB$8,STData!$R$7:$Z$7,0)+3,FALSE)</f>
        <v>12478.110382556952</v>
      </c>
      <c r="I88" s="7">
        <f>VLOOKUP($AT87,STData!$O$10:$Z$103,MATCH(BC$8,STData!$R$7:$Z$7,0)+3,FALSE)</f>
        <v>4060.2889982827796</v>
      </c>
      <c r="J88" s="8">
        <f>VLOOKUP($AT87,STData!$O$10:$Z$103,MATCH(BD$8,STData!$R$7:$Z$7,0)+3,FALSE)</f>
        <v>4926.639278999169</v>
      </c>
      <c r="K88" s="9">
        <f>VLOOKUP($AT87,STData!$O$10:$Z$103,MATCH(BE$8,STData!$R$7:$Z$7,0)+3,FALSE)</f>
        <v>5739.277831634405</v>
      </c>
      <c r="L88" s="26"/>
      <c r="AT88">
        <f t="shared" si="1"/>
        <v>17</v>
      </c>
      <c r="AU88">
        <f>IF(ISNUMBER(VLOOKUP($AT88,STData!$O$10:$P$103,2,FALSE)),AT88,AU89)</f>
        <v>17</v>
      </c>
      <c r="AZ88" t="s">
        <v>1401</v>
      </c>
    </row>
    <row r="89" spans="1:52" ht="12.75">
      <c r="A89" s="64">
        <f>VLOOKUP(AT88,STData!$O$10:$AA$103,13,FALSE)</f>
        <v>39563</v>
      </c>
      <c r="B89" s="13" t="str">
        <f>VLOOKUP($AT88,STData!$O$10:$Z$103,3,FALSE)</f>
        <v>Hungary</v>
      </c>
      <c r="C89" s="7">
        <f>VLOOKUP($AT88,STData!$O$10:$Z$103,MATCH(AW$8,STData!$R$7:$Z$7,0)+3,FALSE)</f>
        <v>16255.709760652095</v>
      </c>
      <c r="D89" s="8">
        <f>VLOOKUP($AT88,STData!$O$10:$Z$103,MATCH(AX$8,STData!$R$7:$Z$7,0)+3,FALSE)</f>
        <v>18695.598716248074</v>
      </c>
      <c r="E89" s="9">
        <f>VLOOKUP($AT88,STData!$O$10:$Z$103,MATCH(AY$8,STData!$R$7:$Z$7,0)+3,FALSE)</f>
        <v>21946.723708378493</v>
      </c>
      <c r="F89" s="7">
        <f>VLOOKUP($AT88,STData!$O$10:$Z$103,MATCH(AZ$8,STData!$R$7:$Z$7,0)+3,FALSE)</f>
        <v>8682.62820816579</v>
      </c>
      <c r="G89" s="8">
        <f>VLOOKUP($AT88,STData!$O$10:$Z$103,MATCH(BA$8,STData!$R$7:$Z$7,0)+3,FALSE)</f>
        <v>10043.959538045496</v>
      </c>
      <c r="H89" s="9">
        <f>VLOOKUP($AT88,STData!$O$10:$Z$103,MATCH(BB$8,STData!$R$7:$Z$7,0)+3,FALSE)</f>
        <v>11867.309105875293</v>
      </c>
      <c r="I89" s="7">
        <f>VLOOKUP($AT88,STData!$O$10:$Z$103,MATCH(BC$8,STData!$R$7:$Z$7,0)+3,FALSE)</f>
        <v>3858.4779109076317</v>
      </c>
      <c r="J89" s="8">
        <f>VLOOKUP($AT88,STData!$O$10:$Z$103,MATCH(BD$8,STData!$R$7:$Z$7,0)+3,FALSE)</f>
        <v>4669.7139474420765</v>
      </c>
      <c r="K89" s="9">
        <f>VLOOKUP($AT88,STData!$O$10:$Z$103,MATCH(BE$8,STData!$R$7:$Z$7,0)+3,FALSE)</f>
        <v>5465.497868994912</v>
      </c>
      <c r="L89" s="26"/>
      <c r="AT89">
        <f aca="true" t="shared" si="2" ref="AT89:AT94">AT88-1</f>
        <v>16</v>
      </c>
      <c r="AU89">
        <f>IF(ISNUMBER(VLOOKUP($AT89,STData!$O$10:$P$103,2,FALSE)),AT89,AU90)</f>
        <v>16</v>
      </c>
      <c r="AZ89" t="s">
        <v>1249</v>
      </c>
    </row>
    <row r="90" spans="1:52" ht="12.75">
      <c r="A90" s="64">
        <f>VLOOKUP(AT89,STData!$O$10:$AA$103,13,FALSE)</f>
        <v>39563</v>
      </c>
      <c r="B90" s="13" t="str">
        <f>VLOOKUP($AT89,STData!$O$10:$Z$103,3,FALSE)</f>
        <v>Belgium</v>
      </c>
      <c r="C90" s="7">
        <f>VLOOKUP($AT89,STData!$O$10:$Z$103,MATCH(AW$8,STData!$R$7:$Z$7,0)+3,FALSE)</f>
        <v>16392.98431952403</v>
      </c>
      <c r="D90" s="8">
        <f>VLOOKUP($AT89,STData!$O$10:$Z$103,MATCH(AX$8,STData!$R$7:$Z$7,0)+3,FALSE)</f>
        <v>18863.0418712428</v>
      </c>
      <c r="E90" s="9">
        <f>VLOOKUP($AT89,STData!$O$10:$Z$103,MATCH(AY$8,STData!$R$7:$Z$7,0)+3,FALSE)</f>
        <v>22232.150597327727</v>
      </c>
      <c r="F90" s="7">
        <f>VLOOKUP($AT89,STData!$O$10:$Z$103,MATCH(AZ$8,STData!$R$7:$Z$7,0)+3,FALSE)</f>
        <v>8817.933767338622</v>
      </c>
      <c r="G90" s="8">
        <f>VLOOKUP($AT89,STData!$O$10:$Z$103,MATCH(BA$8,STData!$R$7:$Z$7,0)+3,FALSE)</f>
        <v>10202.285921639444</v>
      </c>
      <c r="H90" s="9">
        <f>VLOOKUP($AT89,STData!$O$10:$Z$103,MATCH(BB$8,STData!$R$7:$Z$7,0)+3,FALSE)</f>
        <v>12053.273633569761</v>
      </c>
      <c r="I90" s="7">
        <f>VLOOKUP($AT89,STData!$O$10:$Z$103,MATCH(BC$8,STData!$R$7:$Z$7,0)+3,FALSE)</f>
        <v>3918.2604122289617</v>
      </c>
      <c r="J90" s="8">
        <f>VLOOKUP($AT89,STData!$O$10:$Z$103,MATCH(BD$8,STData!$R$7:$Z$7,0)+3,FALSE)</f>
        <v>4742.649897374397</v>
      </c>
      <c r="K90" s="9">
        <f>VLOOKUP($AT89,STData!$O$10:$Z$103,MATCH(BE$8,STData!$R$7:$Z$7,0)+3,FALSE)</f>
        <v>5551.484863932182</v>
      </c>
      <c r="L90" s="26"/>
      <c r="AT90">
        <f t="shared" si="2"/>
        <v>15</v>
      </c>
      <c r="AU90">
        <f>IF(ISNUMBER(VLOOKUP($AT90,STData!$O$10:$P$103,2,FALSE)),AT90,#REF!)</f>
        <v>15</v>
      </c>
      <c r="AZ90" t="s">
        <v>1221</v>
      </c>
    </row>
    <row r="91" spans="1:52" ht="12.75">
      <c r="A91" s="64">
        <f>VLOOKUP(AT90,STData!$O$10:$AA$103,13,FALSE)</f>
        <v>39563</v>
      </c>
      <c r="B91" s="13" t="str">
        <f>VLOOKUP($AT90,STData!$O$10:$Z$103,3,FALSE)</f>
        <v>Austria</v>
      </c>
      <c r="C91" s="7">
        <f>VLOOKUP($AT90,STData!$O$10:$Z$103,MATCH(AW$8,STData!$R$7:$Z$7,0)+3,FALSE)</f>
        <v>16392.98498952403</v>
      </c>
      <c r="D91" s="8">
        <f>VLOOKUP($AT90,STData!$O$10:$Z$103,MATCH(AX$8,STData!$R$7:$Z$7,0)+3,FALSE)</f>
        <v>18863.0425412428</v>
      </c>
      <c r="E91" s="9">
        <f>VLOOKUP($AT90,STData!$O$10:$Z$103,MATCH(AY$8,STData!$R$7:$Z$7,0)+3,FALSE)</f>
        <v>22232.15126732773</v>
      </c>
      <c r="F91" s="7">
        <f>VLOOKUP($AT90,STData!$O$10:$Z$103,MATCH(AZ$8,STData!$R$7:$Z$7,0)+3,FALSE)</f>
        <v>8817.934437338621</v>
      </c>
      <c r="G91" s="8">
        <f>VLOOKUP($AT90,STData!$O$10:$Z$103,MATCH(BA$8,STData!$R$7:$Z$7,0)+3,FALSE)</f>
        <v>10202.286591639444</v>
      </c>
      <c r="H91" s="9">
        <f>VLOOKUP($AT90,STData!$O$10:$Z$103,MATCH(BB$8,STData!$R$7:$Z$7,0)+3,FALSE)</f>
        <v>12053.27430356976</v>
      </c>
      <c r="I91" s="7">
        <f>VLOOKUP($AT90,STData!$O$10:$Z$103,MATCH(BC$8,STData!$R$7:$Z$7,0)+3,FALSE)</f>
        <v>3918.261082228962</v>
      </c>
      <c r="J91" s="8">
        <f>VLOOKUP($AT90,STData!$O$10:$Z$103,MATCH(BD$8,STData!$R$7:$Z$7,0)+3,FALSE)</f>
        <v>4742.650567374397</v>
      </c>
      <c r="K91" s="9">
        <f>VLOOKUP($AT90,STData!$O$10:$Z$103,MATCH(BE$8,STData!$R$7:$Z$7,0)+3,FALSE)</f>
        <v>5551.485533932181</v>
      </c>
      <c r="L91" s="26"/>
      <c r="AT91">
        <f t="shared" si="2"/>
        <v>14</v>
      </c>
      <c r="AU91">
        <f>IF(ISNUMBER(VLOOKUP($AT91,STData!$O$10:$P$103,2,FALSE)),AT91,AU97)</f>
        <v>14</v>
      </c>
      <c r="AZ91" t="s">
        <v>1386</v>
      </c>
    </row>
    <row r="92" spans="1:52" ht="12.75">
      <c r="A92" s="64">
        <f>VLOOKUP(AT91,STData!$O$10:$AA$103,13,FALSE)</f>
        <v>39563</v>
      </c>
      <c r="B92" s="13" t="str">
        <f>VLOOKUP($AT91,STData!$O$10:$Z$103,3,FALSE)</f>
        <v>Finland</v>
      </c>
      <c r="C92" s="7">
        <f>VLOOKUP($AT91,STData!$O$10:$Z$103,MATCH(AW$8,STData!$R$7:$Z$7,0)+3,FALSE)</f>
        <v>16392.988739524033</v>
      </c>
      <c r="D92" s="8">
        <f>VLOOKUP($AT91,STData!$O$10:$Z$103,MATCH(AX$8,STData!$R$7:$Z$7,0)+3,FALSE)</f>
        <v>18863.046291242805</v>
      </c>
      <c r="E92" s="9">
        <f>VLOOKUP($AT91,STData!$O$10:$Z$103,MATCH(AY$8,STData!$R$7:$Z$7,0)+3,FALSE)</f>
        <v>22232.155017327732</v>
      </c>
      <c r="F92" s="7">
        <f>VLOOKUP($AT91,STData!$O$10:$Z$103,MATCH(AZ$8,STData!$R$7:$Z$7,0)+3,FALSE)</f>
        <v>8817.938187338621</v>
      </c>
      <c r="G92" s="8">
        <f>VLOOKUP($AT91,STData!$O$10:$Z$103,MATCH(BA$8,STData!$R$7:$Z$7,0)+3,FALSE)</f>
        <v>10202.290341639444</v>
      </c>
      <c r="H92" s="9">
        <f>VLOOKUP($AT91,STData!$O$10:$Z$103,MATCH(BB$8,STData!$R$7:$Z$7,0)+3,FALSE)</f>
        <v>12053.27805356976</v>
      </c>
      <c r="I92" s="7">
        <f>VLOOKUP($AT91,STData!$O$10:$Z$103,MATCH(BC$8,STData!$R$7:$Z$7,0)+3,FALSE)</f>
        <v>3918.264832228962</v>
      </c>
      <c r="J92" s="8">
        <f>VLOOKUP($AT91,STData!$O$10:$Z$103,MATCH(BD$8,STData!$R$7:$Z$7,0)+3,FALSE)</f>
        <v>4742.654317374398</v>
      </c>
      <c r="K92" s="9">
        <f>VLOOKUP($AT91,STData!$O$10:$Z$103,MATCH(BE$8,STData!$R$7:$Z$7,0)+3,FALSE)</f>
        <v>5551.489283932182</v>
      </c>
      <c r="L92" s="26"/>
      <c r="AT92">
        <f t="shared" si="2"/>
        <v>13</v>
      </c>
      <c r="AU92">
        <f>IF(ISNUMBER(VLOOKUP($AT92,STData!$O$10:$P$103,2,FALSE)),AT92,AU98)</f>
        <v>13</v>
      </c>
      <c r="AZ92" t="s">
        <v>1009</v>
      </c>
    </row>
    <row r="93" spans="1:52" ht="12.75">
      <c r="A93" s="64">
        <f>VLOOKUP(AT92,STData!$O$10:$AA$103,13,FALSE)</f>
        <v>39563</v>
      </c>
      <c r="B93" s="13" t="str">
        <f>VLOOKUP($AT92,STData!$O$10:$Z$103,3,FALSE)</f>
        <v>Germany</v>
      </c>
      <c r="C93" s="7">
        <f>VLOOKUP($AT92,STData!$O$10:$Z$103,MATCH(AW$8,STData!$R$7:$Z$7,0)+3,FALSE)</f>
        <v>16392.98937952403</v>
      </c>
      <c r="D93" s="8">
        <f>VLOOKUP($AT92,STData!$O$10:$Z$103,MATCH(AX$8,STData!$R$7:$Z$7,0)+3,FALSE)</f>
        <v>18863.046931242803</v>
      </c>
      <c r="E93" s="9">
        <f>VLOOKUP($AT92,STData!$O$10:$Z$103,MATCH(AY$8,STData!$R$7:$Z$7,0)+3,FALSE)</f>
        <v>22232.15565732773</v>
      </c>
      <c r="F93" s="7">
        <f>VLOOKUP($AT92,STData!$O$10:$Z$103,MATCH(AZ$8,STData!$R$7:$Z$7,0)+3,FALSE)</f>
        <v>8817.938827338621</v>
      </c>
      <c r="G93" s="8">
        <f>VLOOKUP($AT92,STData!$O$10:$Z$103,MATCH(BA$8,STData!$R$7:$Z$7,0)+3,FALSE)</f>
        <v>10202.290981639444</v>
      </c>
      <c r="H93" s="9">
        <f>VLOOKUP($AT92,STData!$O$10:$Z$103,MATCH(BB$8,STData!$R$7:$Z$7,0)+3,FALSE)</f>
        <v>12053.27869356976</v>
      </c>
      <c r="I93" s="7">
        <f>VLOOKUP($AT92,STData!$O$10:$Z$103,MATCH(BC$8,STData!$R$7:$Z$7,0)+3,FALSE)</f>
        <v>3918.2654722289617</v>
      </c>
      <c r="J93" s="8">
        <f>VLOOKUP($AT92,STData!$O$10:$Z$103,MATCH(BD$8,STData!$R$7:$Z$7,0)+3,FALSE)</f>
        <v>4742.654957374398</v>
      </c>
      <c r="K93" s="9">
        <f>VLOOKUP($AT92,STData!$O$10:$Z$103,MATCH(BE$8,STData!$R$7:$Z$7,0)+3,FALSE)</f>
        <v>5551.489923932182</v>
      </c>
      <c r="L93" s="26"/>
      <c r="AT93">
        <f t="shared" si="2"/>
        <v>12</v>
      </c>
      <c r="AU93">
        <f>IF(ISNUMBER(VLOOKUP($AT93,STData!$O$10:$P$103,2,FALSE)),AT93,AU99)</f>
        <v>12</v>
      </c>
      <c r="AZ93" t="s">
        <v>1402</v>
      </c>
    </row>
    <row r="94" spans="1:52" ht="12.75">
      <c r="A94" s="64">
        <f>VLOOKUP(AT93,STData!$O$10:$AA$103,13,FALSE)</f>
        <v>39563</v>
      </c>
      <c r="B94" s="13" t="str">
        <f>VLOOKUP($AT93,STData!$O$10:$Z$103,3,FALSE)</f>
        <v>France</v>
      </c>
      <c r="C94" s="7">
        <f>VLOOKUP($AT93,STData!$O$10:$Z$103,MATCH(AW$8,STData!$R$7:$Z$7,0)+3,FALSE)</f>
        <v>16392.98950952403</v>
      </c>
      <c r="D94" s="8">
        <f>VLOOKUP($AT93,STData!$O$10:$Z$103,MATCH(AX$8,STData!$R$7:$Z$7,0)+3,FALSE)</f>
        <v>18863.047061242803</v>
      </c>
      <c r="E94" s="9">
        <f>VLOOKUP($AT93,STData!$O$10:$Z$103,MATCH(AY$8,STData!$R$7:$Z$7,0)+3,FALSE)</f>
        <v>22232.15578732773</v>
      </c>
      <c r="F94" s="7">
        <f>VLOOKUP($AT93,STData!$O$10:$Z$103,MATCH(AZ$8,STData!$R$7:$Z$7,0)+3,FALSE)</f>
        <v>8817.93895733862</v>
      </c>
      <c r="G94" s="8">
        <f>VLOOKUP($AT93,STData!$O$10:$Z$103,MATCH(BA$8,STData!$R$7:$Z$7,0)+3,FALSE)</f>
        <v>10202.291111639443</v>
      </c>
      <c r="H94" s="9">
        <f>VLOOKUP($AT93,STData!$O$10:$Z$103,MATCH(BB$8,STData!$R$7:$Z$7,0)+3,FALSE)</f>
        <v>12053.278823569759</v>
      </c>
      <c r="I94" s="7">
        <f>VLOOKUP($AT93,STData!$O$10:$Z$103,MATCH(BC$8,STData!$R$7:$Z$7,0)+3,FALSE)</f>
        <v>3918.265602228962</v>
      </c>
      <c r="J94" s="8">
        <f>VLOOKUP($AT93,STData!$O$10:$Z$103,MATCH(BD$8,STData!$R$7:$Z$7,0)+3,FALSE)</f>
        <v>4742.655087374397</v>
      </c>
      <c r="K94" s="9">
        <f>VLOOKUP($AT93,STData!$O$10:$Z$103,MATCH(BE$8,STData!$R$7:$Z$7,0)+3,FALSE)</f>
        <v>5551.490053932182</v>
      </c>
      <c r="L94" s="26"/>
      <c r="AT94">
        <f t="shared" si="2"/>
        <v>11</v>
      </c>
      <c r="AU94">
        <f>IF(ISNUMBER(VLOOKUP($AT94,STData!$O$10:$P$103,2,FALSE)),AT94,AU100)</f>
        <v>11</v>
      </c>
      <c r="AZ94" t="s">
        <v>1010</v>
      </c>
    </row>
    <row r="95" spans="1:52" ht="12.75">
      <c r="A95" s="64">
        <f>VLOOKUP(AT94,STData!$O$10:$AA$103,13,FALSE)</f>
        <v>39563</v>
      </c>
      <c r="B95" s="13" t="str">
        <f>VLOOKUP($AT94,STData!$O$10:$Z$103,3,FALSE)</f>
        <v>Greece</v>
      </c>
      <c r="C95" s="7">
        <f>VLOOKUP($AT94,STData!$O$10:$Z$103,MATCH(AW$8,STData!$R$7:$Z$7,0)+3,FALSE)</f>
        <v>16392.99054952403</v>
      </c>
      <c r="D95" s="8">
        <f>VLOOKUP($AT94,STData!$O$10:$Z$103,MATCH(AX$8,STData!$R$7:$Z$7,0)+3,FALSE)</f>
        <v>18863.048101242803</v>
      </c>
      <c r="E95" s="9">
        <f>VLOOKUP($AT94,STData!$O$10:$Z$103,MATCH(AY$8,STData!$R$7:$Z$7,0)+3,FALSE)</f>
        <v>22232.15682732773</v>
      </c>
      <c r="F95" s="7">
        <f>VLOOKUP($AT94,STData!$O$10:$Z$103,MATCH(AZ$8,STData!$R$7:$Z$7,0)+3,FALSE)</f>
        <v>8817.93999733862</v>
      </c>
      <c r="G95" s="8">
        <f>VLOOKUP($AT94,STData!$O$10:$Z$103,MATCH(BA$8,STData!$R$7:$Z$7,0)+3,FALSE)</f>
        <v>10202.292151639444</v>
      </c>
      <c r="H95" s="9">
        <f>VLOOKUP($AT94,STData!$O$10:$Z$103,MATCH(BB$8,STData!$R$7:$Z$7,0)+3,FALSE)</f>
        <v>12053.27986356976</v>
      </c>
      <c r="I95" s="7">
        <f>VLOOKUP($AT94,STData!$O$10:$Z$103,MATCH(BC$8,STData!$R$7:$Z$7,0)+3,FALSE)</f>
        <v>3918.2666422289617</v>
      </c>
      <c r="J95" s="8">
        <f>VLOOKUP($AT94,STData!$O$10:$Z$103,MATCH(BD$8,STData!$R$7:$Z$7,0)+3,FALSE)</f>
        <v>4742.656127374397</v>
      </c>
      <c r="K95" s="9">
        <f>VLOOKUP($AT94,STData!$O$10:$Z$103,MATCH(BE$8,STData!$R$7:$Z$7,0)+3,FALSE)</f>
        <v>5551.491093932182</v>
      </c>
      <c r="L95" s="26"/>
      <c r="AT95">
        <f aca="true" t="shared" si="3" ref="AT95:AT105">AT94-1</f>
        <v>10</v>
      </c>
      <c r="AU95">
        <f>IF(ISNUMBER(VLOOKUP($AT95,STData!$O$10:$P$103,2,FALSE)),AT95,AU101)</f>
        <v>10</v>
      </c>
      <c r="AZ95" t="s">
        <v>1011</v>
      </c>
    </row>
    <row r="96" spans="1:52" ht="12.75">
      <c r="A96" s="64">
        <f>VLOOKUP(AT95,STData!$O$10:$AA$103,13,FALSE)</f>
        <v>39563</v>
      </c>
      <c r="B96" s="13" t="str">
        <f>VLOOKUP($AT95,STData!$O$10:$Z$103,3,FALSE)</f>
        <v>Ireland</v>
      </c>
      <c r="C96" s="7">
        <f>VLOOKUP($AT95,STData!$O$10:$Z$103,MATCH(AW$8,STData!$R$7:$Z$7,0)+3,FALSE)</f>
        <v>16392.99254952403</v>
      </c>
      <c r="D96" s="8">
        <f>VLOOKUP($AT95,STData!$O$10:$Z$103,MATCH(AX$8,STData!$R$7:$Z$7,0)+3,FALSE)</f>
        <v>18863.050101242803</v>
      </c>
      <c r="E96" s="9">
        <f>VLOOKUP($AT95,STData!$O$10:$Z$103,MATCH(AY$8,STData!$R$7:$Z$7,0)+3,FALSE)</f>
        <v>22232.15882732773</v>
      </c>
      <c r="F96" s="7">
        <f>VLOOKUP($AT95,STData!$O$10:$Z$103,MATCH(AZ$8,STData!$R$7:$Z$7,0)+3,FALSE)</f>
        <v>8817.941997338621</v>
      </c>
      <c r="G96" s="8">
        <f>VLOOKUP($AT95,STData!$O$10:$Z$103,MATCH(BA$8,STData!$R$7:$Z$7,0)+3,FALSE)</f>
        <v>10202.294151639444</v>
      </c>
      <c r="H96" s="9">
        <f>VLOOKUP($AT95,STData!$O$10:$Z$103,MATCH(BB$8,STData!$R$7:$Z$7,0)+3,FALSE)</f>
        <v>12053.28186356976</v>
      </c>
      <c r="I96" s="7">
        <f>VLOOKUP($AT95,STData!$O$10:$Z$103,MATCH(BC$8,STData!$R$7:$Z$7,0)+3,FALSE)</f>
        <v>3918.2686422289617</v>
      </c>
      <c r="J96" s="8">
        <f>VLOOKUP($AT95,STData!$O$10:$Z$103,MATCH(BD$8,STData!$R$7:$Z$7,0)+3,FALSE)</f>
        <v>4742.658127374398</v>
      </c>
      <c r="K96" s="9">
        <f>VLOOKUP($AT95,STData!$O$10:$Z$103,MATCH(BE$8,STData!$R$7:$Z$7,0)+3,FALSE)</f>
        <v>5551.493093932182</v>
      </c>
      <c r="L96" s="26"/>
      <c r="AT96">
        <f t="shared" si="3"/>
        <v>9</v>
      </c>
      <c r="AU96">
        <f>IF(ISNUMBER(VLOOKUP($AT96,STData!$O$10:$P$103,2,FALSE)),AT96,AU102)</f>
        <v>9</v>
      </c>
      <c r="AZ96" t="s">
        <v>1026</v>
      </c>
    </row>
    <row r="97" spans="1:52" ht="12.75">
      <c r="A97" s="64">
        <f>VLOOKUP(AT96,STData!$O$10:$AA$103,13,FALSE)</f>
        <v>39563</v>
      </c>
      <c r="B97" s="13" t="str">
        <f>VLOOKUP($AT96,STData!$O$10:$Z$103,3,FALSE)</f>
        <v>Italy</v>
      </c>
      <c r="C97" s="7">
        <f>VLOOKUP($AT96,STData!$O$10:$Z$103,MATCH(AW$8,STData!$R$7:$Z$7,0)+3,FALSE)</f>
        <v>16392.992709524035</v>
      </c>
      <c r="D97" s="8">
        <f>VLOOKUP($AT96,STData!$O$10:$Z$103,MATCH(AX$8,STData!$R$7:$Z$7,0)+3,FALSE)</f>
        <v>18863.050261242806</v>
      </c>
      <c r="E97" s="9">
        <f>VLOOKUP($AT96,STData!$O$10:$Z$103,MATCH(AY$8,STData!$R$7:$Z$7,0)+3,FALSE)</f>
        <v>22232.158987327733</v>
      </c>
      <c r="F97" s="7">
        <f>VLOOKUP($AT96,STData!$O$10:$Z$103,MATCH(AZ$8,STData!$R$7:$Z$7,0)+3,FALSE)</f>
        <v>8817.94215733862</v>
      </c>
      <c r="G97" s="8">
        <f>VLOOKUP($AT96,STData!$O$10:$Z$103,MATCH(BA$8,STData!$R$7:$Z$7,0)+3,FALSE)</f>
        <v>10202.294311639444</v>
      </c>
      <c r="H97" s="9">
        <f>VLOOKUP($AT96,STData!$O$10:$Z$103,MATCH(BB$8,STData!$R$7:$Z$7,0)+3,FALSE)</f>
        <v>12053.28202356976</v>
      </c>
      <c r="I97" s="7">
        <f>VLOOKUP($AT96,STData!$O$10:$Z$103,MATCH(BC$8,STData!$R$7:$Z$7,0)+3,FALSE)</f>
        <v>3918.2688022289617</v>
      </c>
      <c r="J97" s="8">
        <f>VLOOKUP($AT96,STData!$O$10:$Z$103,MATCH(BD$8,STData!$R$7:$Z$7,0)+3,FALSE)</f>
        <v>4742.658287374397</v>
      </c>
      <c r="K97" s="9">
        <f>VLOOKUP($AT96,STData!$O$10:$Z$103,MATCH(BE$8,STData!$R$7:$Z$7,0)+3,FALSE)</f>
        <v>5551.493253932182</v>
      </c>
      <c r="L97" s="26"/>
      <c r="AT97">
        <f t="shared" si="3"/>
        <v>8</v>
      </c>
      <c r="AU97">
        <f>IF(ISNUMBER(VLOOKUP($AT97,STData!$O$10:$P$103,2,FALSE)),AT97,AU103)</f>
        <v>8</v>
      </c>
      <c r="AZ97" t="s">
        <v>1403</v>
      </c>
    </row>
    <row r="98" spans="1:52" ht="12.75">
      <c r="A98" s="64">
        <f>VLOOKUP(AT97,STData!$O$10:$AA$103,13,FALSE)</f>
        <v>39563</v>
      </c>
      <c r="B98" s="13" t="str">
        <f>VLOOKUP($AT97,STData!$O$10:$Z$103,3,FALSE)</f>
        <v>Luxembourg</v>
      </c>
      <c r="C98" s="7">
        <f>VLOOKUP($AT97,STData!$O$10:$Z$103,MATCH(AW$8,STData!$R$7:$Z$7,0)+3,FALSE)</f>
        <v>16392.99603952403</v>
      </c>
      <c r="D98" s="8">
        <f>VLOOKUP($AT97,STData!$O$10:$Z$103,MATCH(AX$8,STData!$R$7:$Z$7,0)+3,FALSE)</f>
        <v>18863.053591242802</v>
      </c>
      <c r="E98" s="9">
        <f>VLOOKUP($AT97,STData!$O$10:$Z$103,MATCH(AY$8,STData!$R$7:$Z$7,0)+3,FALSE)</f>
        <v>22232.16231732773</v>
      </c>
      <c r="F98" s="7">
        <f>VLOOKUP($AT97,STData!$O$10:$Z$103,MATCH(AZ$8,STData!$R$7:$Z$7,0)+3,FALSE)</f>
        <v>8817.94548733862</v>
      </c>
      <c r="G98" s="8">
        <f>VLOOKUP($AT97,STData!$O$10:$Z$103,MATCH(BA$8,STData!$R$7:$Z$7,0)+3,FALSE)</f>
        <v>10202.297641639443</v>
      </c>
      <c r="H98" s="9">
        <f>VLOOKUP($AT97,STData!$O$10:$Z$103,MATCH(BB$8,STData!$R$7:$Z$7,0)+3,FALSE)</f>
        <v>12053.28535356976</v>
      </c>
      <c r="I98" s="7">
        <f>VLOOKUP($AT97,STData!$O$10:$Z$103,MATCH(BC$8,STData!$R$7:$Z$7,0)+3,FALSE)</f>
        <v>3918.272132228962</v>
      </c>
      <c r="J98" s="8">
        <f>VLOOKUP($AT97,STData!$O$10:$Z$103,MATCH(BD$8,STData!$R$7:$Z$7,0)+3,FALSE)</f>
        <v>4742.661617374397</v>
      </c>
      <c r="K98" s="9">
        <f>VLOOKUP($AT97,STData!$O$10:$Z$103,MATCH(BE$8,STData!$R$7:$Z$7,0)+3,FALSE)</f>
        <v>5551.496583932181</v>
      </c>
      <c r="L98" s="26"/>
      <c r="AT98">
        <f t="shared" si="3"/>
        <v>7</v>
      </c>
      <c r="AU98">
        <f>IF(ISNUMBER(VLOOKUP($AT98,STData!$O$10:$P$103,2,FALSE)),AT98,AU104)</f>
        <v>7</v>
      </c>
      <c r="AZ98" t="s">
        <v>1404</v>
      </c>
    </row>
    <row r="99" spans="1:52" ht="12.75">
      <c r="A99" s="64">
        <f>VLOOKUP(AT98,STData!$O$10:$AA$103,13,FALSE)</f>
        <v>39563</v>
      </c>
      <c r="B99" s="13" t="str">
        <f>VLOOKUP($AT98,STData!$O$10:$Z$103,3,FALSE)</f>
        <v>Netherlands</v>
      </c>
      <c r="C99" s="7">
        <f>VLOOKUP($AT98,STData!$O$10:$Z$103,MATCH(AW$8,STData!$R$7:$Z$7,0)+3,FALSE)</f>
        <v>16392.996399524032</v>
      </c>
      <c r="D99" s="8">
        <f>VLOOKUP($AT98,STData!$O$10:$Z$103,MATCH(AX$8,STData!$R$7:$Z$7,0)+3,FALSE)</f>
        <v>18863.053951242804</v>
      </c>
      <c r="E99" s="9">
        <f>VLOOKUP($AT98,STData!$O$10:$Z$103,MATCH(AY$8,STData!$R$7:$Z$7,0)+3,FALSE)</f>
        <v>22232.16267732773</v>
      </c>
      <c r="F99" s="7">
        <f>VLOOKUP($AT98,STData!$O$10:$Z$103,MATCH(AZ$8,STData!$R$7:$Z$7,0)+3,FALSE)</f>
        <v>8817.94584733862</v>
      </c>
      <c r="G99" s="8">
        <f>VLOOKUP($AT98,STData!$O$10:$Z$103,MATCH(BA$8,STData!$R$7:$Z$7,0)+3,FALSE)</f>
        <v>10202.298001639443</v>
      </c>
      <c r="H99" s="9">
        <f>VLOOKUP($AT98,STData!$O$10:$Z$103,MATCH(BB$8,STData!$R$7:$Z$7,0)+3,FALSE)</f>
        <v>12053.28571356976</v>
      </c>
      <c r="I99" s="7">
        <f>VLOOKUP($AT98,STData!$O$10:$Z$103,MATCH(BC$8,STData!$R$7:$Z$7,0)+3,FALSE)</f>
        <v>3918.2724922289617</v>
      </c>
      <c r="J99" s="8">
        <f>VLOOKUP($AT98,STData!$O$10:$Z$103,MATCH(BD$8,STData!$R$7:$Z$7,0)+3,FALSE)</f>
        <v>4742.661977374398</v>
      </c>
      <c r="K99" s="9">
        <f>VLOOKUP($AT98,STData!$O$10:$Z$103,MATCH(BE$8,STData!$R$7:$Z$7,0)+3,FALSE)</f>
        <v>5551.496943932182</v>
      </c>
      <c r="L99" s="26"/>
      <c r="AT99">
        <f t="shared" si="3"/>
        <v>6</v>
      </c>
      <c r="AU99">
        <f>IF(ISNUMBER(VLOOKUP($AT99,STData!$O$10:$P$103,2,FALSE)),AT99,AU105)</f>
        <v>6</v>
      </c>
      <c r="AZ99" t="s">
        <v>1177</v>
      </c>
    </row>
    <row r="100" spans="1:52" ht="12.75">
      <c r="A100" s="64">
        <f>VLOOKUP(AT99,STData!$O$10:$AA$103,13,FALSE)</f>
        <v>39563</v>
      </c>
      <c r="B100" s="13" t="str">
        <f>VLOOKUP($AT99,STData!$O$10:$Z$103,3,FALSE)</f>
        <v>Portugal</v>
      </c>
      <c r="C100" s="7">
        <f>VLOOKUP($AT99,STData!$O$10:$Z$103,MATCH(AW$8,STData!$R$7:$Z$7,0)+3,FALSE)</f>
        <v>16392.999379524033</v>
      </c>
      <c r="D100" s="8">
        <f>VLOOKUP($AT99,STData!$O$10:$Z$103,MATCH(AX$8,STData!$R$7:$Z$7,0)+3,FALSE)</f>
        <v>18863.056931242805</v>
      </c>
      <c r="E100" s="9">
        <f>VLOOKUP($AT99,STData!$O$10:$Z$103,MATCH(AY$8,STData!$R$7:$Z$7,0)+3,FALSE)</f>
        <v>22232.165657327732</v>
      </c>
      <c r="F100" s="7">
        <f>VLOOKUP($AT99,STData!$O$10:$Z$103,MATCH(AZ$8,STData!$R$7:$Z$7,0)+3,FALSE)</f>
        <v>8817.948827338621</v>
      </c>
      <c r="G100" s="8">
        <f>VLOOKUP($AT99,STData!$O$10:$Z$103,MATCH(BA$8,STData!$R$7:$Z$7,0)+3,FALSE)</f>
        <v>10202.300981639444</v>
      </c>
      <c r="H100" s="9">
        <f>VLOOKUP($AT99,STData!$O$10:$Z$103,MATCH(BB$8,STData!$R$7:$Z$7,0)+3,FALSE)</f>
        <v>12053.28869356976</v>
      </c>
      <c r="I100" s="7">
        <f>VLOOKUP($AT99,STData!$O$10:$Z$103,MATCH(BC$8,STData!$R$7:$Z$7,0)+3,FALSE)</f>
        <v>3918.275472228962</v>
      </c>
      <c r="J100" s="8">
        <f>VLOOKUP($AT99,STData!$O$10:$Z$103,MATCH(BD$8,STData!$R$7:$Z$7,0)+3,FALSE)</f>
        <v>4742.664957374397</v>
      </c>
      <c r="K100" s="9">
        <f>VLOOKUP($AT99,STData!$O$10:$Z$103,MATCH(BE$8,STData!$R$7:$Z$7,0)+3,FALSE)</f>
        <v>5551.499923932181</v>
      </c>
      <c r="L100" s="26"/>
      <c r="AT100">
        <f t="shared" si="3"/>
        <v>5</v>
      </c>
      <c r="AU100">
        <f>IF(ISNUMBER(VLOOKUP($AT100,STData!$O$10:$P$103,2,FALSE)),AT100,AO106)</f>
        <v>5</v>
      </c>
      <c r="AZ100" t="s">
        <v>1012</v>
      </c>
    </row>
    <row r="101" spans="1:52" ht="12.75">
      <c r="A101" s="64">
        <f>VLOOKUP(AT100,STData!$O$10:$AA$103,13,FALSE)</f>
        <v>39563</v>
      </c>
      <c r="B101" s="13" t="str">
        <f>VLOOKUP($AT100,STData!$O$10:$Z$103,3,FALSE)</f>
        <v>Spain</v>
      </c>
      <c r="C101" s="7">
        <f>VLOOKUP($AT100,STData!$O$10:$Z$103,MATCH(AW$8,STData!$R$7:$Z$7,0)+3,FALSE)</f>
        <v>16393.002309524032</v>
      </c>
      <c r="D101" s="8">
        <f>VLOOKUP($AT100,STData!$O$10:$Z$103,MATCH(AX$8,STData!$R$7:$Z$7,0)+3,FALSE)</f>
        <v>18863.059861242804</v>
      </c>
      <c r="E101" s="9">
        <f>VLOOKUP($AT100,STData!$O$10:$Z$103,MATCH(AY$8,STData!$R$7:$Z$7,0)+3,FALSE)</f>
        <v>22232.16858732773</v>
      </c>
      <c r="F101" s="7">
        <f>VLOOKUP($AT100,STData!$O$10:$Z$103,MATCH(AZ$8,STData!$R$7:$Z$7,0)+3,FALSE)</f>
        <v>8817.951757338622</v>
      </c>
      <c r="G101" s="8">
        <f>VLOOKUP($AT100,STData!$O$10:$Z$103,MATCH(BA$8,STData!$R$7:$Z$7,0)+3,FALSE)</f>
        <v>10202.303911639445</v>
      </c>
      <c r="H101" s="9">
        <f>VLOOKUP($AT100,STData!$O$10:$Z$103,MATCH(BB$8,STData!$R$7:$Z$7,0)+3,FALSE)</f>
        <v>12053.291623569761</v>
      </c>
      <c r="I101" s="7">
        <f>VLOOKUP($AT100,STData!$O$10:$Z$103,MATCH(BC$8,STData!$R$7:$Z$7,0)+3,FALSE)</f>
        <v>3918.278402228962</v>
      </c>
      <c r="J101" s="8">
        <f>VLOOKUP($AT100,STData!$O$10:$Z$103,MATCH(BD$8,STData!$R$7:$Z$7,0)+3,FALSE)</f>
        <v>4742.667887374397</v>
      </c>
      <c r="K101" s="9">
        <f>VLOOKUP($AT100,STData!$O$10:$Z$103,MATCH(BE$8,STData!$R$7:$Z$7,0)+3,FALSE)</f>
        <v>5551.502853932181</v>
      </c>
      <c r="L101" s="26"/>
      <c r="AT101">
        <f t="shared" si="3"/>
        <v>4</v>
      </c>
      <c r="AU101">
        <f>IF(ISNUMBER(VLOOKUP($AT101,STData!$O$10:$P$103,2,FALSE)),AT101,AO107)</f>
        <v>4</v>
      </c>
      <c r="AZ101" t="s">
        <v>1013</v>
      </c>
    </row>
    <row r="102" spans="1:52" ht="12.75">
      <c r="A102" s="64">
        <f>VLOOKUP(AT101,STData!$O$10:$AA$103,13,FALSE)</f>
        <v>39563</v>
      </c>
      <c r="B102" s="13" t="str">
        <f>VLOOKUP($AT101,STData!$O$10:$Z$103,3,FALSE)</f>
        <v>Poland</v>
      </c>
      <c r="C102" s="7">
        <f>VLOOKUP($AT101,STData!$O$10:$Z$103,MATCH(AW$8,STData!$R$7:$Z$7,0)+3,FALSE)</f>
        <v>18666.437891442263</v>
      </c>
      <c r="D102" s="8">
        <f>VLOOKUP($AT101,STData!$O$10:$Z$103,MATCH(AX$8,STData!$R$7:$Z$7,0)+3,FALSE)</f>
        <v>21432.10713332042</v>
      </c>
      <c r="E102" s="9">
        <f>VLOOKUP($AT101,STData!$O$10:$Z$103,MATCH(AY$8,STData!$R$7:$Z$7,0)+3,FALSE)</f>
        <v>25289.28563686256</v>
      </c>
      <c r="F102" s="7">
        <f>VLOOKUP($AT101,STData!$O$10:$Z$103,MATCH(AZ$8,STData!$R$7:$Z$7,0)+3,FALSE)</f>
        <v>9909.766406318302</v>
      </c>
      <c r="G102" s="8">
        <f>VLOOKUP($AT101,STData!$O$10:$Z$103,MATCH(BA$8,STData!$R$7:$Z$7,0)+3,FALSE)</f>
        <v>11468.626112413052</v>
      </c>
      <c r="H102" s="9">
        <f>VLOOKUP($AT101,STData!$O$10:$Z$103,MATCH(BB$8,STData!$R$7:$Z$7,0)+3,FALSE)</f>
        <v>13516.358980774203</v>
      </c>
      <c r="I102" s="7">
        <f>VLOOKUP($AT101,STData!$O$10:$Z$103,MATCH(BC$8,STData!$R$7:$Z$7,0)+3,FALSE)</f>
        <v>4407.637325338903</v>
      </c>
      <c r="J102" s="8">
        <f>VLOOKUP($AT101,STData!$O$10:$Z$103,MATCH(BD$8,STData!$R$7:$Z$7,0)+3,FALSE)</f>
        <v>5326.964844317858</v>
      </c>
      <c r="K102" s="9">
        <f>VLOOKUP($AT101,STData!$O$10:$Z$103,MATCH(BE$8,STData!$R$7:$Z$7,0)+3,FALSE)</f>
        <v>6240.143015343777</v>
      </c>
      <c r="L102" s="26"/>
      <c r="AT102">
        <f t="shared" si="3"/>
        <v>3</v>
      </c>
      <c r="AU102">
        <f>IF(ISNUMBER(VLOOKUP($AT102,STData!$O$10:$P$103,2,FALSE)),AT102,AO108)</f>
        <v>3</v>
      </c>
      <c r="AZ102" t="s">
        <v>1223</v>
      </c>
    </row>
    <row r="103" spans="1:52" ht="12.75">
      <c r="A103" s="64">
        <f>VLOOKUP(AT102,STData!$O$10:$AA$103,13,FALSE)</f>
        <v>39563</v>
      </c>
      <c r="B103" s="13" t="str">
        <f>VLOOKUP($AT102,STData!$O$10:$Z$103,3,FALSE)</f>
        <v>Slovakia</v>
      </c>
      <c r="C103" s="7">
        <f>VLOOKUP($AT102,STData!$O$10:$Z$103,MATCH(AW$8,STData!$R$7:$Z$7,0)+3,FALSE)</f>
        <v>20778.723011023758</v>
      </c>
      <c r="D103" s="8">
        <f>VLOOKUP($AT102,STData!$O$10:$Z$103,MATCH(AX$8,STData!$R$7:$Z$7,0)+3,FALSE)</f>
        <v>23896.21413179299</v>
      </c>
      <c r="E103" s="9">
        <f>VLOOKUP($AT102,STData!$O$10:$Z$103,MATCH(AY$8,STData!$R$7:$Z$7,0)+3,FALSE)</f>
        <v>28051.320280339365</v>
      </c>
      <c r="F103" s="7">
        <f>VLOOKUP($AT102,STData!$O$10:$Z$103,MATCH(AZ$8,STData!$R$7:$Z$7,0)+3,FALSE)</f>
        <v>9059.867913725793</v>
      </c>
      <c r="G103" s="8">
        <f>VLOOKUP($AT102,STData!$O$10:$Z$103,MATCH(BA$8,STData!$R$7:$Z$7,0)+3,FALSE)</f>
        <v>10481.555369695072</v>
      </c>
      <c r="H103" s="9">
        <f>VLOOKUP($AT102,STData!$O$10:$Z$103,MATCH(BB$8,STData!$R$7:$Z$7,0)+3,FALSE)</f>
        <v>12383.33336090452</v>
      </c>
      <c r="I103" s="7">
        <f>VLOOKUP($AT102,STData!$O$10:$Z$103,MATCH(BC$8,STData!$R$7:$Z$7,0)+3,FALSE)</f>
        <v>4029.758047725558</v>
      </c>
      <c r="J103" s="8">
        <f>VLOOKUP($AT102,STData!$O$10:$Z$103,MATCH(BD$8,STData!$R$7:$Z$7,0)+3,FALSE)</f>
        <v>4873.788182260696</v>
      </c>
      <c r="K103" s="9">
        <f>VLOOKUP($AT102,STData!$O$10:$Z$103,MATCH(BE$8,STData!$R$7:$Z$7,0)+3,FALSE)</f>
        <v>5703.88020448241</v>
      </c>
      <c r="L103" s="26"/>
      <c r="AT103">
        <f t="shared" si="3"/>
        <v>2</v>
      </c>
      <c r="AU103">
        <f>IF(ISNUMBER(VLOOKUP($AT103,STData!$O$10:$P$103,2,FALSE)),AT103,AO109)</f>
        <v>2</v>
      </c>
      <c r="AZ103" t="s">
        <v>1014</v>
      </c>
    </row>
    <row r="104" spans="1:52" ht="12.75">
      <c r="A104" s="64">
        <f>VLOOKUP(AT103,STData!$O$10:$AA$103,13,FALSE)</f>
        <v>39563</v>
      </c>
      <c r="B104" s="13" t="str">
        <f>VLOOKUP($AT103,STData!$O$10:$Z$103,3,FALSE)</f>
        <v>Czech Rep</v>
      </c>
      <c r="C104" s="7">
        <f>VLOOKUP($AT103,STData!$O$10:$Z$103,MATCH(AW$8,STData!$R$7:$Z$7,0)+3,FALSE)</f>
        <v>20838.349038162203</v>
      </c>
      <c r="D104" s="8">
        <f>VLOOKUP($AT103,STData!$O$10:$Z$103,MATCH(AX$8,STData!$R$7:$Z$7,0)+3,FALSE)</f>
        <v>23965.244050352634</v>
      </c>
      <c r="E104" s="9">
        <f>VLOOKUP($AT103,STData!$O$10:$Z$103,MATCH(AY$8,STData!$R$7:$Z$7,0)+3,FALSE)</f>
        <v>28137.516567849463</v>
      </c>
      <c r="F104" s="7">
        <f>VLOOKUP($AT103,STData!$O$10:$Z$103,MATCH(AZ$8,STData!$R$7:$Z$7,0)+3,FALSE)</f>
        <v>9888.82795165392</v>
      </c>
      <c r="G104" s="8">
        <f>VLOOKUP($AT103,STData!$O$10:$Z$103,MATCH(BA$8,STData!$R$7:$Z$7,0)+3,FALSE)</f>
        <v>11440.728578088165</v>
      </c>
      <c r="H104" s="9">
        <f>VLOOKUP($AT103,STData!$O$10:$Z$103,MATCH(BB$8,STData!$R$7:$Z$7,0)+3,FALSE)</f>
        <v>13516.087749153008</v>
      </c>
      <c r="I104" s="7">
        <f>VLOOKUP($AT103,STData!$O$10:$Z$103,MATCH(BC$8,STData!$R$7:$Z$7,0)+3,FALSE)</f>
        <v>4394.052816987435</v>
      </c>
      <c r="J104" s="8">
        <f>VLOOKUP($AT103,STData!$O$10:$Z$103,MATCH(BD$8,STData!$R$7:$Z$7,0)+3,FALSE)</f>
        <v>5317.8031898649615</v>
      </c>
      <c r="K104" s="9">
        <f>VLOOKUP($AT103,STData!$O$10:$Z$103,MATCH(BE$8,STData!$R$7:$Z$7,0)+3,FALSE)</f>
        <v>6224.618139239734</v>
      </c>
      <c r="L104" s="26"/>
      <c r="AT104">
        <f t="shared" si="3"/>
        <v>1</v>
      </c>
      <c r="AU104">
        <f>IF(ISNUMBER(VLOOKUP($AT104,STData!$O$10:$P$103,2,FALSE)),AT104,AO110)</f>
        <v>1</v>
      </c>
      <c r="AZ104" t="s">
        <v>1198</v>
      </c>
    </row>
    <row r="105" spans="1:52" ht="12.75">
      <c r="A105" s="64" t="str">
        <f>VLOOKUP(AT104,STData!$O$10:$AA$103,13,FALSE)</f>
        <v>old</v>
      </c>
      <c r="B105" s="14" t="str">
        <f>VLOOKUP($AT104,STData!$O$10:$Z$103,3,FALSE)</f>
        <v>Tunisia</v>
      </c>
      <c r="C105" s="10">
        <f>VLOOKUP($AT104,STData!$O$10:$Z$103,MATCH(AW$8,STData!$R$7:$Z$7,0)+3,FALSE)</f>
        <v>9887.594685298596</v>
      </c>
      <c r="D105" s="11">
        <f>VLOOKUP($AT104,STData!$O$10:$Z$103,MATCH(AX$8,STData!$R$7:$Z$7,0)+3,FALSE)</f>
        <v>34907.89581877856</v>
      </c>
      <c r="E105" s="12">
        <f>VLOOKUP($AT104,STData!$O$10:$Z$103,MATCH(AY$8,STData!$R$7:$Z$7,0)+3,FALSE)</f>
        <v>40977.934729284396</v>
      </c>
      <c r="F105" s="10">
        <f>VLOOKUP($AT104,STData!$O$10:$Z$103,MATCH(AZ$8,STData!$R$7:$Z$7,0)+3,FALSE)</f>
        <v>21614.8827922179</v>
      </c>
      <c r="G105" s="11">
        <f>VLOOKUP($AT104,STData!$O$10:$Z$103,MATCH(BA$8,STData!$R$7:$Z$7,0)+3,FALSE)</f>
        <v>24861.372387886993</v>
      </c>
      <c r="H105" s="12">
        <f>VLOOKUP($AT104,STData!$O$10:$Z$103,MATCH(BB$8,STData!$R$7:$Z$7,0)+3,FALSE)</f>
        <v>29180.438535746915</v>
      </c>
      <c r="I105" s="10">
        <f>VLOOKUP($AT104,STData!$O$10:$Z$103,MATCH(BC$8,STData!$R$7:$Z$7,0)+3,FALSE)</f>
        <v>4050.17292925055</v>
      </c>
      <c r="J105" s="11">
        <f>VLOOKUP($AT104,STData!$O$10:$Z$103,MATCH(BD$8,STData!$R$7:$Z$7,0)+3,FALSE)</f>
        <v>4607.608219387584</v>
      </c>
      <c r="K105" s="12">
        <f>VLOOKUP($AT104,STData!$O$10:$Z$103,MATCH(BE$8,STData!$R$7:$Z$7,0)+3,FALSE)</f>
        <v>5442.492333750635</v>
      </c>
      <c r="L105" s="26"/>
      <c r="AT105">
        <f t="shared" si="3"/>
        <v>0</v>
      </c>
      <c r="AU105">
        <f>IF(ISNUMBER(VLOOKUP($AT105,STData!$O$10:$P$103,2,FALSE)),AT105,AO111)</f>
        <v>0</v>
      </c>
      <c r="AZ105" t="s">
        <v>1240</v>
      </c>
    </row>
    <row r="106" spans="1:52" ht="12.75">
      <c r="A106" s="26"/>
      <c r="B106" s="26"/>
      <c r="C106" s="26"/>
      <c r="D106" s="26"/>
      <c r="E106" s="26"/>
      <c r="F106" s="26"/>
      <c r="AN106">
        <f>AT105-1</f>
        <v>-1</v>
      </c>
      <c r="AO106">
        <f>IF(ISNUMBER(VLOOKUP($AN106,STData!$O$10:$P$103,2,FALSE)),AN106,AO107)</f>
        <v>0</v>
      </c>
      <c r="AZ106" t="s">
        <v>1220</v>
      </c>
    </row>
    <row r="107" spans="1:41" ht="12.75" hidden="1">
      <c r="A107" s="26"/>
      <c r="B107" s="26"/>
      <c r="C107" s="26"/>
      <c r="D107" s="26"/>
      <c r="E107" s="26"/>
      <c r="F107" s="26"/>
      <c r="AN107">
        <f>AN106-1</f>
        <v>-2</v>
      </c>
      <c r="AO107">
        <f>IF(ISNUMBER(VLOOKUP($AN107,STData!$O$10:$P$103,2,FALSE)),AN107,AO108)</f>
        <v>0</v>
      </c>
    </row>
    <row r="108" spans="1:41" ht="12.75" hidden="1">
      <c r="A108" s="26"/>
      <c r="B108" s="26"/>
      <c r="C108" s="26"/>
      <c r="D108" s="26"/>
      <c r="E108" s="26"/>
      <c r="F108" s="26"/>
      <c r="AN108">
        <f>AN107-1</f>
        <v>-3</v>
      </c>
      <c r="AO108">
        <f>IF(ISNUMBER(VLOOKUP($AN108,STData!$O$10:$P$103,2,FALSE)),AN108,AO109)</f>
        <v>0</v>
      </c>
    </row>
    <row r="109" spans="1:41" ht="12.75" hidden="1">
      <c r="A109" s="26"/>
      <c r="B109" s="26"/>
      <c r="C109" s="26"/>
      <c r="D109" s="26"/>
      <c r="E109" s="26"/>
      <c r="F109" s="26"/>
      <c r="AN109">
        <f>AN108-1</f>
        <v>-4</v>
      </c>
      <c r="AO109">
        <f>IF(ISNUMBER(VLOOKUP($AN109,STData!$O$10:$P$103,2,FALSE)),AN109,AO110)</f>
        <v>0</v>
      </c>
    </row>
    <row r="110" spans="1:41" ht="12.75" hidden="1">
      <c r="A110" s="26"/>
      <c r="B110" s="26"/>
      <c r="C110" s="26"/>
      <c r="D110" s="26"/>
      <c r="E110" s="26"/>
      <c r="F110" s="26"/>
      <c r="AN110">
        <f>AN109-1</f>
        <v>-5</v>
      </c>
      <c r="AO110">
        <f>IF(ISNUMBER(VLOOKUP($AN110,STData!$O$10:$P$103,2,FALSE)),AN110,AO111)</f>
        <v>0</v>
      </c>
    </row>
    <row r="111" spans="1:41" ht="12.75" hidden="1">
      <c r="A111" s="26"/>
      <c r="B111" s="26"/>
      <c r="C111" s="26"/>
      <c r="D111" s="26"/>
      <c r="E111" s="26"/>
      <c r="F111" s="26"/>
      <c r="AN111">
        <f>AN110-1</f>
        <v>-6</v>
      </c>
      <c r="AO111">
        <f>IF(ISNUMBER(VLOOKUP($AN111,STData!$O$10:$P$103,2,FALSE)),AN111,AO112)</f>
        <v>0</v>
      </c>
    </row>
    <row r="112" ht="12.75" hidden="1"/>
    <row r="113" ht="12.75"/>
  </sheetData>
  <dataValidations count="5">
    <dataValidation type="list" allowBlank="1" showInputMessage="1" showErrorMessage="1" sqref="C3">
      <formula1>$AR$2:$AR$4</formula1>
    </dataValidation>
    <dataValidation type="whole" allowBlank="1" showInputMessage="1" showErrorMessage="1" sqref="C6">
      <formula1>3</formula1>
      <formula2>6</formula2>
    </dataValidation>
    <dataValidation type="list" allowBlank="1" showInputMessage="1" showErrorMessage="1" sqref="C4">
      <formula1>$AW$2:$AW$4</formula1>
    </dataValidation>
    <dataValidation type="list" allowBlank="1" showInputMessage="1" showErrorMessage="1" sqref="C2">
      <formula1>$AQ$2:$AQ$55</formula1>
    </dataValidation>
    <dataValidation type="list" allowBlank="1" showInputMessage="1" showErrorMessage="1" sqref="C5">
      <formula1>$AZ$13:$AZ$113</formula1>
    </dataValidation>
  </dataValidation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A3:BJ103"/>
  <sheetViews>
    <sheetView workbookViewId="0" topLeftCell="A1">
      <selection activeCell="K39" sqref="K39"/>
    </sheetView>
  </sheetViews>
  <sheetFormatPr defaultColWidth="9.140625" defaultRowHeight="12.75"/>
  <cols>
    <col min="1" max="2" width="8.8515625" style="0" customWidth="1"/>
    <col min="3" max="3" width="20.140625" style="0" bestFit="1" customWidth="1"/>
    <col min="4" max="23" width="8.8515625" style="0" customWidth="1"/>
    <col min="24" max="24" width="12.421875" style="0" bestFit="1" customWidth="1"/>
    <col min="25" max="34" width="8.8515625" style="0" customWidth="1"/>
    <col min="35" max="35" width="22.140625" style="0" bestFit="1" customWidth="1"/>
    <col min="36" max="44" width="8.8515625" style="0" customWidth="1"/>
    <col min="45" max="45" width="17.421875" style="0" bestFit="1" customWidth="1"/>
    <col min="46" max="16384" width="8.8515625" style="0" customWidth="1"/>
  </cols>
  <sheetData>
    <row r="3" spans="2:51" ht="12.75">
      <c r="B3">
        <v>1</v>
      </c>
      <c r="C3" t="s">
        <v>1033</v>
      </c>
      <c r="D3" t="s">
        <v>1034</v>
      </c>
      <c r="E3" t="s">
        <v>1151</v>
      </c>
      <c r="AE3" t="s">
        <v>928</v>
      </c>
      <c r="AO3" t="s">
        <v>865</v>
      </c>
      <c r="AY3" t="s">
        <v>705</v>
      </c>
    </row>
    <row r="4" spans="2:51" ht="12.75">
      <c r="B4">
        <v>2</v>
      </c>
      <c r="C4" t="s">
        <v>1152</v>
      </c>
      <c r="X4" s="31"/>
      <c r="AE4" t="s">
        <v>929</v>
      </c>
      <c r="AO4" t="s">
        <v>866</v>
      </c>
      <c r="AY4" t="s">
        <v>706</v>
      </c>
    </row>
    <row r="5" spans="2:51" ht="12.75">
      <c r="B5">
        <v>3</v>
      </c>
      <c r="C5" t="s">
        <v>1153</v>
      </c>
      <c r="D5" t="s">
        <v>1154</v>
      </c>
      <c r="E5" t="s">
        <v>1155</v>
      </c>
      <c r="AE5" t="s">
        <v>930</v>
      </c>
      <c r="AO5" t="s">
        <v>930</v>
      </c>
      <c r="AY5" t="s">
        <v>930</v>
      </c>
    </row>
    <row r="6" spans="2:51" ht="12.75">
      <c r="B6">
        <v>4</v>
      </c>
      <c r="C6" t="s">
        <v>1156</v>
      </c>
      <c r="D6" t="s">
        <v>1374</v>
      </c>
      <c r="E6" t="s">
        <v>1375</v>
      </c>
      <c r="F6" t="s">
        <v>1376</v>
      </c>
      <c r="G6" t="s">
        <v>1374</v>
      </c>
      <c r="H6" t="s">
        <v>1375</v>
      </c>
      <c r="I6" t="s">
        <v>1376</v>
      </c>
      <c r="J6" t="s">
        <v>1374</v>
      </c>
      <c r="K6" t="s">
        <v>1375</v>
      </c>
      <c r="L6" t="s">
        <v>1376</v>
      </c>
      <c r="P6">
        <f>VLOOKUP(STfx,'FX'!$F$5:$H$56,3,FALSE)</f>
        <v>1</v>
      </c>
      <c r="AE6" t="s">
        <v>931</v>
      </c>
      <c r="AO6" t="s">
        <v>931</v>
      </c>
      <c r="AY6" t="s">
        <v>931</v>
      </c>
    </row>
    <row r="7" spans="2:51" ht="12.75">
      <c r="B7">
        <v>5</v>
      </c>
      <c r="C7" t="s">
        <v>1157</v>
      </c>
      <c r="D7" t="s">
        <v>1158</v>
      </c>
      <c r="E7" t="s">
        <v>1158</v>
      </c>
      <c r="F7" t="s">
        <v>1158</v>
      </c>
      <c r="G7" t="s">
        <v>573</v>
      </c>
      <c r="H7" t="s">
        <v>573</v>
      </c>
      <c r="I7" t="s">
        <v>573</v>
      </c>
      <c r="J7" t="s">
        <v>574</v>
      </c>
      <c r="K7" t="s">
        <v>574</v>
      </c>
      <c r="L7" t="s">
        <v>574</v>
      </c>
      <c r="R7" t="s">
        <v>581</v>
      </c>
      <c r="S7" t="s">
        <v>582</v>
      </c>
      <c r="T7" t="s">
        <v>583</v>
      </c>
      <c r="U7" t="s">
        <v>578</v>
      </c>
      <c r="V7" t="s">
        <v>579</v>
      </c>
      <c r="W7" t="s">
        <v>580</v>
      </c>
      <c r="X7" t="s">
        <v>575</v>
      </c>
      <c r="Y7" t="s">
        <v>576</v>
      </c>
      <c r="Z7" t="s">
        <v>577</v>
      </c>
      <c r="AE7" t="s">
        <v>932</v>
      </c>
      <c r="AO7" t="s">
        <v>932</v>
      </c>
      <c r="AY7" t="s">
        <v>932</v>
      </c>
    </row>
    <row r="8" spans="2:30" ht="12.75">
      <c r="B8">
        <v>6</v>
      </c>
      <c r="C8" t="s">
        <v>1159</v>
      </c>
      <c r="D8" t="s">
        <v>1160</v>
      </c>
      <c r="E8" t="s">
        <v>1161</v>
      </c>
      <c r="F8" t="s">
        <v>1162</v>
      </c>
      <c r="AB8">
        <v>3</v>
      </c>
      <c r="AC8">
        <v>4</v>
      </c>
      <c r="AD8">
        <v>5</v>
      </c>
    </row>
    <row r="10" spans="1:62" ht="12.75">
      <c r="A10" t="s">
        <v>921</v>
      </c>
      <c r="B10">
        <v>27</v>
      </c>
      <c r="C10" t="s">
        <v>921</v>
      </c>
      <c r="D10">
        <v>16025.5368</v>
      </c>
      <c r="E10">
        <v>10558.7136</v>
      </c>
      <c r="F10">
        <v>4135.6224</v>
      </c>
      <c r="G10">
        <v>13662.323999999999</v>
      </c>
      <c r="H10">
        <v>8998.3872</v>
      </c>
      <c r="I10">
        <v>3499.3727999999996</v>
      </c>
      <c r="J10">
        <v>11869.716</v>
      </c>
      <c r="K10">
        <v>7854.0216</v>
      </c>
      <c r="L10">
        <v>3075.2064</v>
      </c>
      <c r="M10" t="str">
        <f aca="true" t="shared" si="0" ref="M10:M41">UPPER(MID(RIGHT(C10,5),2,3))</f>
        <v>USD</v>
      </c>
      <c r="N10">
        <v>39563</v>
      </c>
      <c r="O10">
        <f aca="true" t="shared" si="1" ref="O10:O41">RANK(P10,$P$10:$P$103)</f>
        <v>42</v>
      </c>
      <c r="P10" s="3">
        <f>HLOOKUP(STclid,$R$7:$Z$104,ROWS($X$10:X10)+3,FALSE)</f>
        <v>13662.401429999998</v>
      </c>
      <c r="Q10" t="str">
        <f>PROPER(LEFT(C10,LEN(C10)-6))</f>
        <v>Argentina</v>
      </c>
      <c r="R10" s="3">
        <f aca="true" t="shared" si="2" ref="R10:R41">$P$6/VLOOKUP($M10,fx,3,FALSE)*D10+CODE(LEFT($Q10))/1000+CODE(MID($Q10,2,1))/10000+CODE(MID($Q10,3,1))/100000</f>
        <v>16025.61423</v>
      </c>
      <c r="S10" s="3">
        <f aca="true" t="shared" si="3" ref="S10:S41">$P$6/VLOOKUP($M10,fx,3,FALSE)*E10+CODE(LEFT($Q10))/1000+CODE(MID($Q10,2,1))/10000+CODE(MID($Q10,3,1))/100000</f>
        <v>10558.791029999998</v>
      </c>
      <c r="T10" s="3">
        <f aca="true" t="shared" si="4" ref="T10:T41">$P$6/VLOOKUP($M10,fx,3,FALSE)*F10+CODE(LEFT($Q10))/1000+CODE(MID($Q10,2,1))/10000+CODE(MID($Q10,3,1))/100000</f>
        <v>4135.6998300000005</v>
      </c>
      <c r="U10" s="3">
        <f aca="true" t="shared" si="5" ref="U10:U41">$P$6/VLOOKUP($M10,fx,3,FALSE)*G10+CODE(LEFT($Q10))/1000+CODE(MID($Q10,2,1))/10000+CODE(MID($Q10,3,1))/100000</f>
        <v>13662.401429999998</v>
      </c>
      <c r="V10" s="3">
        <f aca="true" t="shared" si="6" ref="V10:V41">$P$6/VLOOKUP($M10,fx,3,FALSE)*H10+CODE(LEFT($Q10))/1000+CODE(MID($Q10,2,1))/10000+CODE(MID($Q10,3,1))/100000</f>
        <v>8998.464629999999</v>
      </c>
      <c r="W10" s="3">
        <f aca="true" t="shared" si="7" ref="W10:W41">$P$6/VLOOKUP($M10,fx,3,FALSE)*I10+CODE(LEFT($Q10))/1000+CODE(MID($Q10,2,1))/10000+CODE(MID($Q10,3,1))/100000</f>
        <v>3499.4502299999995</v>
      </c>
      <c r="X10" s="3">
        <f aca="true" t="shared" si="8" ref="X10:X41">$P$6/VLOOKUP($M10,fx,3,FALSE)*J10+CODE(LEFT($Q10))/1000+CODE(MID($Q10,2,1))/10000+CODE(MID($Q10,3,1))/100000</f>
        <v>11869.79343</v>
      </c>
      <c r="Y10" s="3">
        <f aca="true" t="shared" si="9" ref="Y10:Y41">$P$6/VLOOKUP($M10,fx,3,FALSE)*K10+CODE(LEFT($Q10))/1000+CODE(MID($Q10,2,1))/10000+CODE(MID($Q10,3,1))/100000</f>
        <v>7854.09903</v>
      </c>
      <c r="Z10" s="3">
        <f aca="true" t="shared" si="10" ref="Z10:Z41">$P$6/VLOOKUP($M10,fx,3,FALSE)*L10+CODE(LEFT($Q10))/1000+CODE(MID($Q10,2,1))/10000+CODE(MID($Q10,3,1))/100000</f>
        <v>3075.28383</v>
      </c>
      <c r="AA10" s="3">
        <f>N10</f>
        <v>39563</v>
      </c>
      <c r="AB10" s="49"/>
      <c r="AC10" s="49"/>
      <c r="AD10" s="49"/>
      <c r="AE10" t="s">
        <v>933</v>
      </c>
      <c r="AI10" t="str">
        <f>TRIM(RIGHT(LEFT(AE10,FIND(")",AE10)),LEN(LEFT(AE10,FIND(")",AE10)))-2))</f>
        <v>ARGENTINA (USD)</v>
      </c>
      <c r="AJ10" t="str">
        <f>RIGHT(AE10,LEN(AE10)-LEN(AI10)-4)</f>
        <v>10990 8780 3610 </v>
      </c>
      <c r="AK10">
        <v>10990</v>
      </c>
      <c r="AL10">
        <v>8780</v>
      </c>
      <c r="AM10">
        <v>3610</v>
      </c>
      <c r="AO10" t="s">
        <v>867</v>
      </c>
      <c r="AS10" t="str">
        <f>TRIM(RIGHT(LEFT(AO10,FIND(")",AO10)),LEN(LEFT(AO10,FIND(")",AO10)))-2))</f>
        <v>ARGENTINA (USD)</v>
      </c>
      <c r="AT10" t="str">
        <f>RIGHT(AO10,LEN(AO10)-LEN(AS10)-4)</f>
        <v>9370 7480 3080 </v>
      </c>
      <c r="AU10">
        <v>9370</v>
      </c>
      <c r="AV10">
        <v>7480</v>
      </c>
      <c r="AW10">
        <v>3080</v>
      </c>
      <c r="AY10" t="s">
        <v>707</v>
      </c>
      <c r="BC10" t="str">
        <f>TRIM(RIGHT(LEFT(AY10,FIND(")",AY10)),LEN(LEFT(AY10,FIND(")",AY10)))-2))</f>
        <v>ARGENTINA (USD)</v>
      </c>
      <c r="BD10" t="str">
        <f>RIGHT(AY10,LEN(AY10)-LEN(BC10)-4)</f>
        <v>8140 6500 2680 </v>
      </c>
      <c r="BE10">
        <v>8140</v>
      </c>
      <c r="BF10">
        <v>6500</v>
      </c>
      <c r="BG10">
        <v>2680</v>
      </c>
      <c r="BJ10" t="str">
        <f aca="true" t="shared" si="11" ref="BJ10:BJ41">LEFT(C10,LEN(C10)-6)&amp;REPT(" ",30-LEN(C10)+6)&amp;ROUND(X10,0)&amp;"     "&amp;ROUND(Y10,0)&amp;"     "&amp;ROUND(Z10,0)</f>
        <v>ARGENTINA                     11870     7854     3075</v>
      </c>
    </row>
    <row r="11" spans="1:62" ht="12.75">
      <c r="A11" t="s">
        <v>922</v>
      </c>
      <c r="B11">
        <v>81</v>
      </c>
      <c r="C11" t="s">
        <v>922</v>
      </c>
      <c r="D11">
        <v>10110</v>
      </c>
      <c r="E11">
        <v>7220</v>
      </c>
      <c r="F11">
        <v>3523</v>
      </c>
      <c r="G11">
        <v>8600</v>
      </c>
      <c r="H11">
        <v>6150</v>
      </c>
      <c r="I11">
        <v>3001</v>
      </c>
      <c r="J11">
        <v>7500</v>
      </c>
      <c r="K11">
        <v>5350</v>
      </c>
      <c r="L11">
        <v>2610</v>
      </c>
      <c r="M11" t="str">
        <f t="shared" si="0"/>
        <v>USD</v>
      </c>
      <c r="N11" t="s">
        <v>493</v>
      </c>
      <c r="O11">
        <f t="shared" si="1"/>
        <v>83</v>
      </c>
      <c r="P11" s="3">
        <f>HLOOKUP(STclid,$R$7:$Z$104,ROWS($X$10:X11)+3,FALSE)</f>
        <v>8600.07749</v>
      </c>
      <c r="Q11" t="str">
        <f aca="true" t="shared" si="12" ref="Q11:Q74">PROPER(LEFT(C11,LEN(C11)-6))</f>
        <v>Armenia</v>
      </c>
      <c r="R11" s="3">
        <f t="shared" si="2"/>
        <v>10110.07749</v>
      </c>
      <c r="S11" s="3">
        <f t="shared" si="3"/>
        <v>7220.07749</v>
      </c>
      <c r="T11" s="3">
        <f t="shared" si="4"/>
        <v>3523.07749</v>
      </c>
      <c r="U11" s="3">
        <f t="shared" si="5"/>
        <v>8600.07749</v>
      </c>
      <c r="V11" s="3">
        <f t="shared" si="6"/>
        <v>6150.07749</v>
      </c>
      <c r="W11" s="3">
        <f t="shared" si="7"/>
        <v>3001.07749</v>
      </c>
      <c r="X11" s="3">
        <f t="shared" si="8"/>
        <v>7500.07749</v>
      </c>
      <c r="Y11" s="3">
        <f t="shared" si="9"/>
        <v>5350.07749</v>
      </c>
      <c r="Z11" s="3">
        <f t="shared" si="10"/>
        <v>2610.07749</v>
      </c>
      <c r="AA11" s="3" t="str">
        <f aca="true" t="shared" si="13" ref="AA11:AA74">N11</f>
        <v>old</v>
      </c>
      <c r="AB11" s="49"/>
      <c r="AC11" s="49"/>
      <c r="AD11" s="49"/>
      <c r="AE11" t="s">
        <v>934</v>
      </c>
      <c r="AI11" t="str">
        <f aca="true" t="shared" si="14" ref="AI11:AI74">TRIM(RIGHT(LEFT(AE11,FIND(")",AE11)),LEN(LEFT(AE11,FIND(")",AE11)))-2))</f>
        <v>ARMENIA (USD)</v>
      </c>
      <c r="AJ11" t="str">
        <f aca="true" t="shared" si="15" ref="AJ11:AJ74">RIGHT(AE11,LEN(AE11)-LEN(AI11)-4)</f>
        <v>10110 7220 3523 </v>
      </c>
      <c r="AK11">
        <v>10110</v>
      </c>
      <c r="AL11">
        <v>7220</v>
      </c>
      <c r="AM11">
        <v>3523</v>
      </c>
      <c r="AO11" t="s">
        <v>868</v>
      </c>
      <c r="AS11" t="str">
        <f aca="true" t="shared" si="16" ref="AS11:AS74">TRIM(RIGHT(LEFT(AO11,FIND(")",AO11)),LEN(LEFT(AO11,FIND(")",AO11)))-2))</f>
        <v>ARMENIA (USD)</v>
      </c>
      <c r="AT11" t="str">
        <f aca="true" t="shared" si="17" ref="AT11:AT74">RIGHT(AO11,LEN(AO11)-LEN(AS11)-4)</f>
        <v>8600 6150 3001 </v>
      </c>
      <c r="AU11">
        <v>8600</v>
      </c>
      <c r="AV11">
        <v>6150</v>
      </c>
      <c r="AW11">
        <v>3001</v>
      </c>
      <c r="AY11" t="s">
        <v>708</v>
      </c>
      <c r="BC11" t="str">
        <f aca="true" t="shared" si="18" ref="BC11:BC74">TRIM(RIGHT(LEFT(AY11,FIND(")",AY11)),LEN(LEFT(AY11,FIND(")",AY11)))-2))</f>
        <v>ARMENIA (USD)</v>
      </c>
      <c r="BD11" t="str">
        <f aca="true" t="shared" si="19" ref="BD11:BD74">RIGHT(AY11,LEN(AY11)-LEN(BC11)-4)</f>
        <v>7500 5350 2610 </v>
      </c>
      <c r="BE11">
        <v>7500</v>
      </c>
      <c r="BF11">
        <v>5350</v>
      </c>
      <c r="BG11">
        <v>2610</v>
      </c>
      <c r="BJ11" t="str">
        <f t="shared" si="11"/>
        <v>ARMENIA                       7500     5350     2610</v>
      </c>
    </row>
    <row r="12" spans="1:62" ht="12.75">
      <c r="A12" t="s">
        <v>923</v>
      </c>
      <c r="B12">
        <v>63</v>
      </c>
      <c r="C12" t="s">
        <v>923</v>
      </c>
      <c r="D12">
        <v>20934</v>
      </c>
      <c r="E12">
        <v>12519</v>
      </c>
      <c r="F12">
        <v>4409</v>
      </c>
      <c r="G12">
        <v>18624</v>
      </c>
      <c r="H12">
        <v>11129</v>
      </c>
      <c r="I12">
        <v>3779</v>
      </c>
      <c r="J12">
        <v>16747</v>
      </c>
      <c r="K12">
        <v>9989</v>
      </c>
      <c r="L12">
        <v>3229</v>
      </c>
      <c r="M12" t="str">
        <f t="shared" si="0"/>
        <v>AUD</v>
      </c>
      <c r="N12">
        <v>39563</v>
      </c>
      <c r="O12">
        <f t="shared" si="1"/>
        <v>30</v>
      </c>
      <c r="P12" s="3">
        <f>HLOOKUP(STclid,$R$7:$Z$104,ROWS($X$10:X12)+3,FALSE)</f>
        <v>17475.915327714174</v>
      </c>
      <c r="Q12" t="str">
        <f t="shared" si="12"/>
        <v>Australia</v>
      </c>
      <c r="R12" s="3">
        <f t="shared" si="2"/>
        <v>19643.50470558787</v>
      </c>
      <c r="S12" s="3">
        <f t="shared" si="3"/>
        <v>11747.286257619404</v>
      </c>
      <c r="T12" s="3">
        <f t="shared" si="4"/>
        <v>4137.264675560664</v>
      </c>
      <c r="U12" s="3">
        <f t="shared" si="5"/>
        <v>17475.915327714174</v>
      </c>
      <c r="V12" s="3">
        <f t="shared" si="6"/>
        <v>10442.979229375058</v>
      </c>
      <c r="W12" s="3">
        <f t="shared" si="7"/>
        <v>3546.1039361405647</v>
      </c>
      <c r="X12" s="3">
        <f t="shared" si="8"/>
        <v>15714.631664394294</v>
      </c>
      <c r="Y12" s="3">
        <f t="shared" si="9"/>
        <v>9373.259796138687</v>
      </c>
      <c r="Z12" s="3">
        <f t="shared" si="10"/>
        <v>3030.0112271230178</v>
      </c>
      <c r="AA12" s="3">
        <f t="shared" si="13"/>
        <v>39563</v>
      </c>
      <c r="AB12" s="49"/>
      <c r="AC12" s="49"/>
      <c r="AD12" s="49"/>
      <c r="AE12" t="s">
        <v>935</v>
      </c>
      <c r="AI12" t="str">
        <f t="shared" si="14"/>
        <v>AUSTRALIA (AUD)</v>
      </c>
      <c r="AJ12" t="str">
        <f t="shared" si="15"/>
        <v>14499 10599 3999 </v>
      </c>
      <c r="AK12">
        <v>14499</v>
      </c>
      <c r="AL12">
        <v>10599</v>
      </c>
      <c r="AM12">
        <v>3999</v>
      </c>
      <c r="AO12" t="s">
        <v>869</v>
      </c>
      <c r="AS12" t="str">
        <f t="shared" si="16"/>
        <v>AUSTRALIA (AUD)</v>
      </c>
      <c r="AT12" t="str">
        <f t="shared" si="17"/>
        <v>12899 9199 3399 </v>
      </c>
      <c r="AU12">
        <v>12899</v>
      </c>
      <c r="AV12">
        <v>9199</v>
      </c>
      <c r="AW12">
        <v>3399</v>
      </c>
      <c r="AY12" t="s">
        <v>709</v>
      </c>
      <c r="BC12" t="str">
        <f t="shared" si="18"/>
        <v>AUSTRALIA (AUD)</v>
      </c>
      <c r="BD12" t="str">
        <f t="shared" si="19"/>
        <v>11599 8399 2889 </v>
      </c>
      <c r="BE12">
        <v>11599</v>
      </c>
      <c r="BF12">
        <v>8399</v>
      </c>
      <c r="BG12">
        <v>2889</v>
      </c>
      <c r="BJ12" t="str">
        <f t="shared" si="11"/>
        <v>AUSTRALIA                     15715     9373     3030</v>
      </c>
    </row>
    <row r="13" spans="1:62" ht="12.75">
      <c r="A13" t="s">
        <v>924</v>
      </c>
      <c r="B13">
        <v>85</v>
      </c>
      <c r="C13" t="s">
        <v>924</v>
      </c>
      <c r="D13">
        <v>14293</v>
      </c>
      <c r="E13">
        <v>7749</v>
      </c>
      <c r="F13">
        <v>3569</v>
      </c>
      <c r="G13">
        <v>12127</v>
      </c>
      <c r="H13">
        <v>6559</v>
      </c>
      <c r="I13">
        <v>3049</v>
      </c>
      <c r="J13">
        <v>10539</v>
      </c>
      <c r="K13">
        <v>5669</v>
      </c>
      <c r="L13">
        <v>2519</v>
      </c>
      <c r="M13" t="str">
        <f t="shared" si="0"/>
        <v>EUR</v>
      </c>
      <c r="N13">
        <v>39563</v>
      </c>
      <c r="O13">
        <f t="shared" si="1"/>
        <v>15</v>
      </c>
      <c r="P13" s="3">
        <f>HLOOKUP(STclid,$R$7:$Z$104,ROWS($X$10:X13)+3,FALSE)</f>
        <v>18863.0425412428</v>
      </c>
      <c r="Q13" t="str">
        <f t="shared" si="12"/>
        <v>Austria</v>
      </c>
      <c r="R13" s="3">
        <f t="shared" si="2"/>
        <v>22232.15126732773</v>
      </c>
      <c r="S13" s="3">
        <f t="shared" si="3"/>
        <v>12053.27430356976</v>
      </c>
      <c r="T13" s="3">
        <f t="shared" si="4"/>
        <v>5551.485533932181</v>
      </c>
      <c r="U13" s="3">
        <f t="shared" si="5"/>
        <v>18863.0425412428</v>
      </c>
      <c r="V13" s="3">
        <f t="shared" si="6"/>
        <v>10202.286591639444</v>
      </c>
      <c r="W13" s="3">
        <f t="shared" si="7"/>
        <v>4742.650567374397</v>
      </c>
      <c r="X13" s="3">
        <f t="shared" si="8"/>
        <v>16392.98498952403</v>
      </c>
      <c r="Y13" s="3">
        <f t="shared" si="9"/>
        <v>8817.934437338621</v>
      </c>
      <c r="Z13" s="3">
        <f t="shared" si="10"/>
        <v>3918.261082228962</v>
      </c>
      <c r="AA13" s="3">
        <f t="shared" si="13"/>
        <v>39563</v>
      </c>
      <c r="AB13" s="49"/>
      <c r="AC13" s="49"/>
      <c r="AD13" s="49"/>
      <c r="AE13" t="s">
        <v>936</v>
      </c>
      <c r="AI13" t="str">
        <f t="shared" si="14"/>
        <v>AUSTRIA (EUR)</v>
      </c>
      <c r="AJ13" t="str">
        <f t="shared" si="15"/>
        <v>9899 6499 3249 </v>
      </c>
      <c r="AK13">
        <v>9899</v>
      </c>
      <c r="AL13">
        <v>6499</v>
      </c>
      <c r="AM13">
        <v>3249</v>
      </c>
      <c r="AO13" t="s">
        <v>870</v>
      </c>
      <c r="AS13" t="str">
        <f t="shared" si="16"/>
        <v>AUSTRIA (EUR)</v>
      </c>
      <c r="AT13" t="str">
        <f t="shared" si="17"/>
        <v>8399 5549 2749 </v>
      </c>
      <c r="AU13">
        <v>8399</v>
      </c>
      <c r="AV13">
        <v>5549</v>
      </c>
      <c r="AW13">
        <v>2749</v>
      </c>
      <c r="AY13" t="s">
        <v>710</v>
      </c>
      <c r="BC13" t="str">
        <f t="shared" si="18"/>
        <v>AUSTRIA (EUR)</v>
      </c>
      <c r="BD13" t="str">
        <f t="shared" si="19"/>
        <v>7299 4799 2399 </v>
      </c>
      <c r="BE13">
        <v>7299</v>
      </c>
      <c r="BF13">
        <v>4799</v>
      </c>
      <c r="BG13">
        <v>2399</v>
      </c>
      <c r="BJ13" t="str">
        <f t="shared" si="11"/>
        <v>AUSTRIA                       16393     8818     3918</v>
      </c>
    </row>
    <row r="14" spans="1:62" ht="12.75">
      <c r="A14" t="s">
        <v>925</v>
      </c>
      <c r="B14">
        <v>11</v>
      </c>
      <c r="C14" t="s">
        <v>925</v>
      </c>
      <c r="D14">
        <v>10110</v>
      </c>
      <c r="E14">
        <v>7220</v>
      </c>
      <c r="F14">
        <v>3523</v>
      </c>
      <c r="G14">
        <v>8600</v>
      </c>
      <c r="H14">
        <v>6150</v>
      </c>
      <c r="I14">
        <v>3001</v>
      </c>
      <c r="J14">
        <v>7500</v>
      </c>
      <c r="K14">
        <v>5350</v>
      </c>
      <c r="L14">
        <v>2610</v>
      </c>
      <c r="M14" t="str">
        <f t="shared" si="0"/>
        <v>USD</v>
      </c>
      <c r="N14" t="s">
        <v>493</v>
      </c>
      <c r="O14">
        <f t="shared" si="1"/>
        <v>82</v>
      </c>
      <c r="P14" s="3">
        <f>HLOOKUP(STclid,$R$7:$Z$104,ROWS($X$10:X14)+3,FALSE)</f>
        <v>8600.07821</v>
      </c>
      <c r="Q14" t="str">
        <f t="shared" si="12"/>
        <v>Azerbaijan</v>
      </c>
      <c r="R14" s="3">
        <f>$P$6/VLOOKUP($M14,fx,3,FALSE)*D14+CODE(LEFT($Q14))/1000+CODE(MID($Q14,2,1))/10000+CODE(MID($Q14,3,1))/100000</f>
        <v>10110.07821</v>
      </c>
      <c r="S14" s="3">
        <f t="shared" si="3"/>
        <v>7220.07821</v>
      </c>
      <c r="T14" s="3">
        <f t="shared" si="4"/>
        <v>3523.07821</v>
      </c>
      <c r="U14" s="3">
        <f t="shared" si="5"/>
        <v>8600.07821</v>
      </c>
      <c r="V14" s="3">
        <f t="shared" si="6"/>
        <v>6150.07821</v>
      </c>
      <c r="W14" s="3">
        <f t="shared" si="7"/>
        <v>3001.07821</v>
      </c>
      <c r="X14" s="3">
        <f t="shared" si="8"/>
        <v>7500.07821</v>
      </c>
      <c r="Y14" s="3">
        <f t="shared" si="9"/>
        <v>5350.07821</v>
      </c>
      <c r="Z14" s="3">
        <f t="shared" si="10"/>
        <v>2610.07821</v>
      </c>
      <c r="AA14" s="3" t="str">
        <f t="shared" si="13"/>
        <v>old</v>
      </c>
      <c r="AB14" s="49"/>
      <c r="AC14" s="49"/>
      <c r="AD14" s="49"/>
      <c r="AE14" t="s">
        <v>937</v>
      </c>
      <c r="AI14" t="str">
        <f t="shared" si="14"/>
        <v>AZERBAIJAN (USD)</v>
      </c>
      <c r="AJ14" t="str">
        <f t="shared" si="15"/>
        <v>10110 7220 3523 </v>
      </c>
      <c r="AK14">
        <v>10110</v>
      </c>
      <c r="AL14">
        <v>7220</v>
      </c>
      <c r="AM14">
        <v>3523</v>
      </c>
      <c r="AO14" t="s">
        <v>718</v>
      </c>
      <c r="AS14" t="str">
        <f t="shared" si="16"/>
        <v>AZERBAIJAN (USD)</v>
      </c>
      <c r="AT14" t="str">
        <f t="shared" si="17"/>
        <v>8600 6150 3001 </v>
      </c>
      <c r="AU14">
        <v>8600</v>
      </c>
      <c r="AV14">
        <v>6150</v>
      </c>
      <c r="AW14">
        <v>3001</v>
      </c>
      <c r="AY14" t="s">
        <v>711</v>
      </c>
      <c r="BC14" t="str">
        <f t="shared" si="18"/>
        <v>AZERBAIJAN (USD)</v>
      </c>
      <c r="BD14" t="str">
        <f t="shared" si="19"/>
        <v>7500 5350 2610 </v>
      </c>
      <c r="BE14">
        <v>7500</v>
      </c>
      <c r="BF14">
        <v>5350</v>
      </c>
      <c r="BG14">
        <v>2610</v>
      </c>
      <c r="BJ14" t="str">
        <f t="shared" si="11"/>
        <v>AZERBAIJAN                    7500     5350     2610</v>
      </c>
    </row>
    <row r="15" spans="1:62" ht="12.75">
      <c r="A15" t="s">
        <v>926</v>
      </c>
      <c r="B15">
        <v>40</v>
      </c>
      <c r="C15" t="s">
        <v>926</v>
      </c>
      <c r="D15">
        <v>10418</v>
      </c>
      <c r="E15">
        <v>8191</v>
      </c>
      <c r="F15">
        <v>4488</v>
      </c>
      <c r="G15">
        <v>8874</v>
      </c>
      <c r="H15">
        <v>6978</v>
      </c>
      <c r="I15">
        <v>3823</v>
      </c>
      <c r="J15">
        <v>7717</v>
      </c>
      <c r="K15">
        <v>6063</v>
      </c>
      <c r="L15">
        <v>3320</v>
      </c>
      <c r="M15" t="str">
        <f t="shared" si="0"/>
        <v>USD</v>
      </c>
      <c r="N15" t="s">
        <v>493</v>
      </c>
      <c r="O15">
        <f t="shared" si="1"/>
        <v>76</v>
      </c>
      <c r="P15" s="3">
        <f>HLOOKUP(STclid,$R$7:$Z$104,ROWS($X$10:X15)+3,FALSE)</f>
        <v>8874.07674</v>
      </c>
      <c r="Q15" t="str">
        <f t="shared" si="12"/>
        <v>Bahamas</v>
      </c>
      <c r="R15" s="3">
        <f t="shared" si="2"/>
        <v>10418.07674</v>
      </c>
      <c r="S15" s="3">
        <f t="shared" si="3"/>
        <v>8191.0767399999995</v>
      </c>
      <c r="T15" s="3">
        <f t="shared" si="4"/>
        <v>4488.0767399999995</v>
      </c>
      <c r="U15" s="3">
        <f t="shared" si="5"/>
        <v>8874.07674</v>
      </c>
      <c r="V15" s="3">
        <f t="shared" si="6"/>
        <v>6978.0767399999995</v>
      </c>
      <c r="W15" s="3">
        <f t="shared" si="7"/>
        <v>3823.07674</v>
      </c>
      <c r="X15" s="3">
        <f t="shared" si="8"/>
        <v>7717.0767399999995</v>
      </c>
      <c r="Y15" s="3">
        <f t="shared" si="9"/>
        <v>6063.0767399999995</v>
      </c>
      <c r="Z15" s="3">
        <f t="shared" si="10"/>
        <v>3320.07674</v>
      </c>
      <c r="AA15" s="3" t="str">
        <f t="shared" si="13"/>
        <v>old</v>
      </c>
      <c r="AB15" s="49"/>
      <c r="AC15" s="49"/>
      <c r="AD15" s="49"/>
      <c r="AE15" t="s">
        <v>938</v>
      </c>
      <c r="AI15" t="str">
        <f t="shared" si="14"/>
        <v>BAHAMAS (USD)</v>
      </c>
      <c r="AJ15" t="str">
        <f t="shared" si="15"/>
        <v>10418 8191 4488 </v>
      </c>
      <c r="AK15">
        <v>10418</v>
      </c>
      <c r="AL15">
        <v>8191</v>
      </c>
      <c r="AM15">
        <v>4488</v>
      </c>
      <c r="AO15" t="s">
        <v>719</v>
      </c>
      <c r="AS15" t="str">
        <f t="shared" si="16"/>
        <v>BAHAMAS (USD)</v>
      </c>
      <c r="AT15" t="str">
        <f t="shared" si="17"/>
        <v>8874 6978 3823 </v>
      </c>
      <c r="AU15">
        <v>8874</v>
      </c>
      <c r="AV15">
        <v>6978</v>
      </c>
      <c r="AW15">
        <v>3823</v>
      </c>
      <c r="AY15" t="s">
        <v>712</v>
      </c>
      <c r="BC15" t="str">
        <f t="shared" si="18"/>
        <v>BAHAMAS (USD)</v>
      </c>
      <c r="BD15" t="str">
        <f t="shared" si="19"/>
        <v>7717 6063 3320 </v>
      </c>
      <c r="BE15">
        <v>7717</v>
      </c>
      <c r="BF15">
        <v>6063</v>
      </c>
      <c r="BG15">
        <v>3320</v>
      </c>
      <c r="BJ15" t="str">
        <f t="shared" si="11"/>
        <v>BAHAMAS                       7717     6063     3320</v>
      </c>
    </row>
    <row r="16" spans="1:62" ht="12.75">
      <c r="A16" t="s">
        <v>927</v>
      </c>
      <c r="B16">
        <v>57</v>
      </c>
      <c r="C16" t="s">
        <v>927</v>
      </c>
      <c r="D16">
        <v>9330</v>
      </c>
      <c r="E16">
        <v>5721</v>
      </c>
      <c r="F16">
        <v>3301</v>
      </c>
      <c r="G16">
        <v>7948</v>
      </c>
      <c r="H16">
        <v>4873</v>
      </c>
      <c r="I16">
        <v>2812</v>
      </c>
      <c r="J16">
        <v>6911</v>
      </c>
      <c r="K16">
        <v>4237</v>
      </c>
      <c r="L16">
        <v>2445</v>
      </c>
      <c r="M16" t="str">
        <f t="shared" si="0"/>
        <v>USD</v>
      </c>
      <c r="N16" t="s">
        <v>493</v>
      </c>
      <c r="O16">
        <f t="shared" si="1"/>
        <v>86</v>
      </c>
      <c r="P16" s="3">
        <f>HLOOKUP(STclid,$R$7:$Z$104,ROWS($X$10:X16)+3,FALSE)</f>
        <v>7948.0768</v>
      </c>
      <c r="Q16" t="str">
        <f t="shared" si="12"/>
        <v>Bangladesh</v>
      </c>
      <c r="R16" s="3">
        <f t="shared" si="2"/>
        <v>9330.0768</v>
      </c>
      <c r="S16" s="3">
        <f t="shared" si="3"/>
        <v>5721.0768</v>
      </c>
      <c r="T16" s="3">
        <f t="shared" si="4"/>
        <v>3301.0768</v>
      </c>
      <c r="U16" s="3">
        <f t="shared" si="5"/>
        <v>7948.0768</v>
      </c>
      <c r="V16" s="3">
        <f t="shared" si="6"/>
        <v>4873.0768</v>
      </c>
      <c r="W16" s="3">
        <f t="shared" si="7"/>
        <v>2812.0768</v>
      </c>
      <c r="X16" s="3">
        <f t="shared" si="8"/>
        <v>6911.0768</v>
      </c>
      <c r="Y16" s="3">
        <f t="shared" si="9"/>
        <v>4237.0768</v>
      </c>
      <c r="Z16" s="3">
        <f t="shared" si="10"/>
        <v>2445.0768</v>
      </c>
      <c r="AA16" s="3" t="str">
        <f t="shared" si="13"/>
        <v>old</v>
      </c>
      <c r="AB16" s="49"/>
      <c r="AC16" s="49"/>
      <c r="AD16" s="49"/>
      <c r="AE16" t="s">
        <v>939</v>
      </c>
      <c r="AI16" t="str">
        <f t="shared" si="14"/>
        <v>BANGLADESH (USD)</v>
      </c>
      <c r="AJ16" t="str">
        <f t="shared" si="15"/>
        <v>9330 5721 3301 </v>
      </c>
      <c r="AK16">
        <v>9330</v>
      </c>
      <c r="AL16">
        <v>5721</v>
      </c>
      <c r="AM16">
        <v>3301</v>
      </c>
      <c r="AO16" t="s">
        <v>720</v>
      </c>
      <c r="AS16" t="str">
        <f t="shared" si="16"/>
        <v>BANGLADESH (USD)</v>
      </c>
      <c r="AT16" t="str">
        <f t="shared" si="17"/>
        <v>7948 4873 2812 </v>
      </c>
      <c r="AU16">
        <v>7948</v>
      </c>
      <c r="AV16">
        <v>4873</v>
      </c>
      <c r="AW16">
        <v>2812</v>
      </c>
      <c r="AY16" t="s">
        <v>713</v>
      </c>
      <c r="BC16" t="str">
        <f t="shared" si="18"/>
        <v>BANGLADESH (USD)</v>
      </c>
      <c r="BD16" t="str">
        <f t="shared" si="19"/>
        <v>6911 4237 2445 </v>
      </c>
      <c r="BE16">
        <v>6911</v>
      </c>
      <c r="BF16">
        <v>4237</v>
      </c>
      <c r="BG16">
        <v>2445</v>
      </c>
      <c r="BJ16" t="str">
        <f t="shared" si="11"/>
        <v>BANGLADESH                    6911     4237     2445</v>
      </c>
    </row>
    <row r="17" spans="1:62" ht="12.75">
      <c r="A17" t="s">
        <v>773</v>
      </c>
      <c r="B17">
        <v>65</v>
      </c>
      <c r="C17" t="s">
        <v>773</v>
      </c>
      <c r="D17">
        <v>14293</v>
      </c>
      <c r="E17">
        <v>7749</v>
      </c>
      <c r="F17">
        <v>3569</v>
      </c>
      <c r="G17">
        <v>12127</v>
      </c>
      <c r="H17">
        <v>6559</v>
      </c>
      <c r="I17">
        <v>3049</v>
      </c>
      <c r="J17">
        <v>10539</v>
      </c>
      <c r="K17">
        <v>5669</v>
      </c>
      <c r="L17">
        <v>2519</v>
      </c>
      <c r="M17" t="str">
        <f t="shared" si="0"/>
        <v>EUR</v>
      </c>
      <c r="N17">
        <v>39563</v>
      </c>
      <c r="O17">
        <f t="shared" si="1"/>
        <v>16</v>
      </c>
      <c r="P17" s="3">
        <f>HLOOKUP(STclid,$R$7:$Z$104,ROWS($X$10:X17)+3,FALSE)</f>
        <v>18863.0418712428</v>
      </c>
      <c r="Q17" t="str">
        <f t="shared" si="12"/>
        <v>Belgium</v>
      </c>
      <c r="R17" s="3">
        <f t="shared" si="2"/>
        <v>22232.150597327727</v>
      </c>
      <c r="S17" s="3">
        <f t="shared" si="3"/>
        <v>12053.273633569761</v>
      </c>
      <c r="T17" s="3">
        <f t="shared" si="4"/>
        <v>5551.484863932182</v>
      </c>
      <c r="U17" s="3">
        <f t="shared" si="5"/>
        <v>18863.0418712428</v>
      </c>
      <c r="V17" s="3">
        <f t="shared" si="6"/>
        <v>10202.285921639444</v>
      </c>
      <c r="W17" s="3">
        <f t="shared" si="7"/>
        <v>4742.649897374397</v>
      </c>
      <c r="X17" s="3">
        <f t="shared" si="8"/>
        <v>16392.98431952403</v>
      </c>
      <c r="Y17" s="3">
        <f t="shared" si="9"/>
        <v>8817.933767338622</v>
      </c>
      <c r="Z17" s="3">
        <f t="shared" si="10"/>
        <v>3918.2604122289617</v>
      </c>
      <c r="AA17" s="3">
        <f t="shared" si="13"/>
        <v>39563</v>
      </c>
      <c r="AB17" s="49"/>
      <c r="AC17" s="49"/>
      <c r="AD17" s="49"/>
      <c r="AE17" t="s">
        <v>940</v>
      </c>
      <c r="AI17" t="str">
        <f t="shared" si="14"/>
        <v>BELGIUM (EUR)</v>
      </c>
      <c r="AJ17" t="str">
        <f t="shared" si="15"/>
        <v>9899 6499 3249 </v>
      </c>
      <c r="AK17">
        <v>9899</v>
      </c>
      <c r="AL17">
        <v>6499</v>
      </c>
      <c r="AM17">
        <v>3249</v>
      </c>
      <c r="AO17" t="s">
        <v>721</v>
      </c>
      <c r="AS17" t="str">
        <f t="shared" si="16"/>
        <v>BELGIUM (EUR)</v>
      </c>
      <c r="AT17" t="str">
        <f t="shared" si="17"/>
        <v>8399 5549 2749 </v>
      </c>
      <c r="AU17">
        <v>8399</v>
      </c>
      <c r="AV17">
        <v>5549</v>
      </c>
      <c r="AW17">
        <v>2749</v>
      </c>
      <c r="AY17" t="s">
        <v>714</v>
      </c>
      <c r="BC17" t="str">
        <f t="shared" si="18"/>
        <v>BELGIUM (EUR)</v>
      </c>
      <c r="BD17" t="str">
        <f t="shared" si="19"/>
        <v>7299 4799 2399 </v>
      </c>
      <c r="BE17">
        <v>7299</v>
      </c>
      <c r="BF17">
        <v>4799</v>
      </c>
      <c r="BG17">
        <v>2399</v>
      </c>
      <c r="BJ17" t="str">
        <f t="shared" si="11"/>
        <v>BELGIUM                       16393     8818     3918</v>
      </c>
    </row>
    <row r="18" spans="1:62" ht="12.75">
      <c r="A18" t="s">
        <v>774</v>
      </c>
      <c r="B18">
        <v>94</v>
      </c>
      <c r="C18" t="s">
        <v>774</v>
      </c>
      <c r="D18">
        <v>10418</v>
      </c>
      <c r="E18">
        <v>8191</v>
      </c>
      <c r="F18">
        <v>4488</v>
      </c>
      <c r="G18">
        <v>8874</v>
      </c>
      <c r="H18">
        <v>6978</v>
      </c>
      <c r="I18">
        <v>3823</v>
      </c>
      <c r="J18">
        <v>7717</v>
      </c>
      <c r="K18">
        <v>6063</v>
      </c>
      <c r="L18">
        <v>3320</v>
      </c>
      <c r="M18" t="str">
        <f t="shared" si="0"/>
        <v>USD</v>
      </c>
      <c r="N18" t="s">
        <v>493</v>
      </c>
      <c r="O18">
        <f t="shared" si="1"/>
        <v>75</v>
      </c>
      <c r="P18" s="3">
        <f>HLOOKUP(STclid,$R$7:$Z$104,ROWS($X$10:X18)+3,FALSE)</f>
        <v>8874.07724</v>
      </c>
      <c r="Q18" t="str">
        <f t="shared" si="12"/>
        <v>Bermuda</v>
      </c>
      <c r="R18" s="3">
        <f t="shared" si="2"/>
        <v>10418.07724</v>
      </c>
      <c r="S18" s="3">
        <f t="shared" si="3"/>
        <v>8191.0772400000005</v>
      </c>
      <c r="T18" s="3">
        <f t="shared" si="4"/>
        <v>4488.0772400000005</v>
      </c>
      <c r="U18" s="3">
        <f t="shared" si="5"/>
        <v>8874.07724</v>
      </c>
      <c r="V18" s="3">
        <f t="shared" si="6"/>
        <v>6978.0772400000005</v>
      </c>
      <c r="W18" s="3">
        <f t="shared" si="7"/>
        <v>3823.0772399999996</v>
      </c>
      <c r="X18" s="3">
        <f t="shared" si="8"/>
        <v>7717.0772400000005</v>
      </c>
      <c r="Y18" s="3">
        <f t="shared" si="9"/>
        <v>6063.0772400000005</v>
      </c>
      <c r="Z18" s="3">
        <f t="shared" si="10"/>
        <v>3320.0772399999996</v>
      </c>
      <c r="AA18" s="3" t="str">
        <f t="shared" si="13"/>
        <v>old</v>
      </c>
      <c r="AB18" s="49"/>
      <c r="AC18" s="49"/>
      <c r="AD18" s="49"/>
      <c r="AE18" t="s">
        <v>941</v>
      </c>
      <c r="AI18" t="str">
        <f t="shared" si="14"/>
        <v>BERMUDA (USD)</v>
      </c>
      <c r="AJ18" t="str">
        <f t="shared" si="15"/>
        <v>10418 8191 4488 </v>
      </c>
      <c r="AK18">
        <v>10418</v>
      </c>
      <c r="AL18">
        <v>8191</v>
      </c>
      <c r="AM18">
        <v>4488</v>
      </c>
      <c r="AO18" t="s">
        <v>722</v>
      </c>
      <c r="AS18" t="str">
        <f t="shared" si="16"/>
        <v>BERMUDA (USD)</v>
      </c>
      <c r="AT18" t="str">
        <f t="shared" si="17"/>
        <v>8874 6978 3823 </v>
      </c>
      <c r="AU18">
        <v>8874</v>
      </c>
      <c r="AV18">
        <v>6978</v>
      </c>
      <c r="AW18">
        <v>3823</v>
      </c>
      <c r="AY18" t="s">
        <v>715</v>
      </c>
      <c r="BC18" t="str">
        <f t="shared" si="18"/>
        <v>BERMUDA (USD)</v>
      </c>
      <c r="BD18" t="str">
        <f t="shared" si="19"/>
        <v>7717 6063 3320 </v>
      </c>
      <c r="BE18">
        <v>7717</v>
      </c>
      <c r="BF18">
        <v>6063</v>
      </c>
      <c r="BG18">
        <v>3320</v>
      </c>
      <c r="BJ18" t="str">
        <f t="shared" si="11"/>
        <v>BERMUDA                       7717     6063     3320</v>
      </c>
    </row>
    <row r="19" spans="1:62" ht="12.75">
      <c r="A19" t="s">
        <v>776</v>
      </c>
      <c r="B19">
        <v>86</v>
      </c>
      <c r="C19" t="s">
        <v>775</v>
      </c>
      <c r="D19">
        <v>15112</v>
      </c>
      <c r="E19">
        <v>10455</v>
      </c>
      <c r="F19">
        <v>4095</v>
      </c>
      <c r="G19">
        <v>12884</v>
      </c>
      <c r="H19">
        <v>8910</v>
      </c>
      <c r="I19">
        <v>3465</v>
      </c>
      <c r="J19">
        <v>11193</v>
      </c>
      <c r="K19">
        <v>7777</v>
      </c>
      <c r="L19">
        <v>3045</v>
      </c>
      <c r="M19" t="str">
        <f t="shared" si="0"/>
        <v>USD</v>
      </c>
      <c r="N19">
        <v>39563</v>
      </c>
      <c r="O19">
        <f t="shared" si="1"/>
        <v>45</v>
      </c>
      <c r="P19" s="3">
        <f>HLOOKUP(STclid,$R$7:$Z$104,ROWS($X$10:X19)+3,FALSE)</f>
        <v>12884.07837</v>
      </c>
      <c r="Q19" t="str">
        <f t="shared" si="12"/>
        <v>Brazil</v>
      </c>
      <c r="R19" s="3">
        <f t="shared" si="2"/>
        <v>15112.07837</v>
      </c>
      <c r="S19" s="3">
        <f t="shared" si="3"/>
        <v>10455.07837</v>
      </c>
      <c r="T19" s="3">
        <f t="shared" si="4"/>
        <v>4095.0783699999997</v>
      </c>
      <c r="U19" s="3">
        <f t="shared" si="5"/>
        <v>12884.07837</v>
      </c>
      <c r="V19" s="3">
        <f t="shared" si="6"/>
        <v>8910.07837</v>
      </c>
      <c r="W19" s="3">
        <f t="shared" si="7"/>
        <v>3465.0783699999997</v>
      </c>
      <c r="X19" s="3">
        <f t="shared" si="8"/>
        <v>11193.07837</v>
      </c>
      <c r="Y19" s="3">
        <f t="shared" si="9"/>
        <v>7777.07837</v>
      </c>
      <c r="Z19" s="3">
        <f t="shared" si="10"/>
        <v>3045.0783699999997</v>
      </c>
      <c r="AA19" s="3">
        <f t="shared" si="13"/>
        <v>39563</v>
      </c>
      <c r="AB19" s="49"/>
      <c r="AC19" s="49"/>
      <c r="AD19" s="49"/>
      <c r="AE19" t="s">
        <v>942</v>
      </c>
      <c r="AI19" t="str">
        <f t="shared" si="14"/>
        <v>BRAZIL (USD)</v>
      </c>
      <c r="AJ19" t="str">
        <f t="shared" si="15"/>
        <v>10990 8780 3610 </v>
      </c>
      <c r="AK19">
        <v>10990</v>
      </c>
      <c r="AL19">
        <v>8780</v>
      </c>
      <c r="AM19">
        <v>3610</v>
      </c>
      <c r="AO19" t="s">
        <v>723</v>
      </c>
      <c r="AS19" t="str">
        <f t="shared" si="16"/>
        <v>BRAZIL (USD)</v>
      </c>
      <c r="AT19" t="str">
        <f t="shared" si="17"/>
        <v>9370 7480 3080 </v>
      </c>
      <c r="AU19">
        <v>9370</v>
      </c>
      <c r="AV19">
        <v>7480</v>
      </c>
      <c r="AW19">
        <v>3080</v>
      </c>
      <c r="AY19" t="s">
        <v>716</v>
      </c>
      <c r="BC19" t="str">
        <f t="shared" si="18"/>
        <v>BRAZIL (USD)</v>
      </c>
      <c r="BD19" t="str">
        <f t="shared" si="19"/>
        <v>8140 6500 2680 </v>
      </c>
      <c r="BE19">
        <v>8140</v>
      </c>
      <c r="BF19">
        <v>6500</v>
      </c>
      <c r="BG19">
        <v>2680</v>
      </c>
      <c r="BJ19" t="str">
        <f t="shared" si="11"/>
        <v>BRAZIL                        11193     7777     3045</v>
      </c>
    </row>
    <row r="20" spans="1:62" ht="12.75">
      <c r="A20" t="s">
        <v>777</v>
      </c>
      <c r="B20">
        <v>15</v>
      </c>
      <c r="C20" t="s">
        <v>776</v>
      </c>
      <c r="D20">
        <v>13629</v>
      </c>
      <c r="E20">
        <v>7250</v>
      </c>
      <c r="F20">
        <v>3410</v>
      </c>
      <c r="G20">
        <v>11549</v>
      </c>
      <c r="H20">
        <v>6150</v>
      </c>
      <c r="I20">
        <v>2910</v>
      </c>
      <c r="J20">
        <v>9999</v>
      </c>
      <c r="K20">
        <v>5340</v>
      </c>
      <c r="L20">
        <v>2370</v>
      </c>
      <c r="M20" t="str">
        <f t="shared" si="0"/>
        <v>EUR</v>
      </c>
      <c r="N20">
        <v>39563</v>
      </c>
      <c r="O20">
        <f t="shared" si="1"/>
        <v>27</v>
      </c>
      <c r="P20" s="3">
        <f>HLOOKUP(STclid,$R$7:$Z$104,ROWS($X$10:X20)+3,FALSE)</f>
        <v>17963.992296876648</v>
      </c>
      <c r="Q20" t="str">
        <f t="shared" si="12"/>
        <v>Bulgaria</v>
      </c>
      <c r="R20" s="3">
        <f t="shared" si="2"/>
        <v>21199.332163107785</v>
      </c>
      <c r="S20" s="3">
        <f t="shared" si="3"/>
        <v>11277.10475604604</v>
      </c>
      <c r="T20" s="3">
        <f t="shared" si="4"/>
        <v>5304.1696183885515</v>
      </c>
      <c r="U20" s="3">
        <f t="shared" si="5"/>
        <v>17963.992296876648</v>
      </c>
      <c r="V20" s="3">
        <f t="shared" si="6"/>
        <v>9566.107711404571</v>
      </c>
      <c r="W20" s="3">
        <f t="shared" si="7"/>
        <v>4526.443689006065</v>
      </c>
      <c r="X20" s="3">
        <f t="shared" si="8"/>
        <v>15553.041915790945</v>
      </c>
      <c r="Y20" s="3">
        <f t="shared" si="9"/>
        <v>8306.191705804946</v>
      </c>
      <c r="Z20" s="3">
        <f t="shared" si="10"/>
        <v>3686.4996852729814</v>
      </c>
      <c r="AA20" s="3">
        <f t="shared" si="13"/>
        <v>39563</v>
      </c>
      <c r="AB20" s="49"/>
      <c r="AC20" s="49"/>
      <c r="AD20" s="49"/>
      <c r="AE20" t="s">
        <v>943</v>
      </c>
      <c r="AI20" t="str">
        <f t="shared" si="14"/>
        <v>BULGARIA (EUR)</v>
      </c>
      <c r="AJ20" t="str">
        <f t="shared" si="15"/>
        <v>7099 4809 2659 </v>
      </c>
      <c r="AK20">
        <v>7099</v>
      </c>
      <c r="AL20">
        <v>4809</v>
      </c>
      <c r="AM20">
        <v>2659</v>
      </c>
      <c r="AO20" t="s">
        <v>724</v>
      </c>
      <c r="AS20" t="str">
        <f t="shared" si="16"/>
        <v>BULGARIA (EUR)</v>
      </c>
      <c r="AT20" t="str">
        <f t="shared" si="17"/>
        <v>6049 4099 2269 </v>
      </c>
      <c r="AU20">
        <v>6049</v>
      </c>
      <c r="AV20">
        <v>4099</v>
      </c>
      <c r="AW20">
        <v>2269</v>
      </c>
      <c r="AY20" t="s">
        <v>717</v>
      </c>
      <c r="BC20" t="str">
        <f t="shared" si="18"/>
        <v>BULGARIA (EUR)</v>
      </c>
      <c r="BD20" t="str">
        <f t="shared" si="19"/>
        <v>5259 3559 1969 </v>
      </c>
      <c r="BE20">
        <v>5259</v>
      </c>
      <c r="BF20">
        <v>3559</v>
      </c>
      <c r="BG20">
        <v>1969</v>
      </c>
      <c r="BJ20" t="str">
        <f t="shared" si="11"/>
        <v>BULGARIA                      15553     8306     3686</v>
      </c>
    </row>
    <row r="21" spans="1:62" ht="12.75">
      <c r="A21" t="s">
        <v>778</v>
      </c>
      <c r="B21">
        <v>66</v>
      </c>
      <c r="C21" t="s">
        <v>777</v>
      </c>
      <c r="D21">
        <v>20802</v>
      </c>
      <c r="E21">
        <v>13649</v>
      </c>
      <c r="F21">
        <v>6179</v>
      </c>
      <c r="G21">
        <v>17722</v>
      </c>
      <c r="H21">
        <v>12126</v>
      </c>
      <c r="I21">
        <v>5406</v>
      </c>
      <c r="J21">
        <v>15412</v>
      </c>
      <c r="K21">
        <v>10079</v>
      </c>
      <c r="L21">
        <v>4737</v>
      </c>
      <c r="M21" t="str">
        <f t="shared" si="0"/>
        <v>CAD</v>
      </c>
      <c r="N21">
        <v>39563</v>
      </c>
      <c r="O21">
        <f t="shared" si="1"/>
        <v>29</v>
      </c>
      <c r="P21" s="3">
        <f>HLOOKUP(STclid,$R$7:$Z$104,ROWS($X$10:X21)+3,FALSE)</f>
        <v>17513.666099239053</v>
      </c>
      <c r="Q21" t="str">
        <f t="shared" si="12"/>
        <v>Canada</v>
      </c>
      <c r="R21" s="3">
        <f t="shared" si="2"/>
        <v>20557.44512878743</v>
      </c>
      <c r="S21" s="3">
        <f t="shared" si="3"/>
        <v>13488.564804644728</v>
      </c>
      <c r="T21" s="3">
        <f t="shared" si="4"/>
        <v>6106.412418045262</v>
      </c>
      <c r="U21" s="3">
        <f t="shared" si="5"/>
        <v>17513.666099239053</v>
      </c>
      <c r="V21" s="3">
        <f t="shared" si="6"/>
        <v>11983.475368929736</v>
      </c>
      <c r="W21" s="3">
        <f t="shared" si="7"/>
        <v>5342.502940824193</v>
      </c>
      <c r="X21" s="3">
        <f t="shared" si="8"/>
        <v>15230.831827077775</v>
      </c>
      <c r="Y21" s="3">
        <f t="shared" si="9"/>
        <v>9960.548202213657</v>
      </c>
      <c r="Z21" s="3">
        <f t="shared" si="10"/>
        <v>4681.370417847614</v>
      </c>
      <c r="AA21" s="3">
        <f t="shared" si="13"/>
        <v>39563</v>
      </c>
      <c r="AB21" s="49"/>
      <c r="AC21" s="49"/>
      <c r="AD21" s="49"/>
      <c r="AE21" t="s">
        <v>944</v>
      </c>
      <c r="AI21" t="str">
        <f t="shared" si="14"/>
        <v>CANADA (CAD)</v>
      </c>
      <c r="AJ21" t="str">
        <f t="shared" si="15"/>
        <v>15129 10989 5799 </v>
      </c>
      <c r="AK21">
        <v>15129</v>
      </c>
      <c r="AL21">
        <v>10989</v>
      </c>
      <c r="AM21">
        <v>5799</v>
      </c>
      <c r="AO21" t="s">
        <v>725</v>
      </c>
      <c r="AS21" t="str">
        <f t="shared" si="16"/>
        <v>CANADA (CAD)</v>
      </c>
      <c r="AT21" t="str">
        <f t="shared" si="17"/>
        <v>12889 9359 4939 </v>
      </c>
      <c r="AU21">
        <v>12889</v>
      </c>
      <c r="AV21">
        <v>9359</v>
      </c>
      <c r="AW21">
        <v>4939</v>
      </c>
      <c r="AY21" t="s">
        <v>611</v>
      </c>
      <c r="BC21" t="str">
        <f t="shared" si="18"/>
        <v>CANADA (CAD)</v>
      </c>
      <c r="BD21" t="str">
        <f t="shared" si="19"/>
        <v>11209 8139 4299 </v>
      </c>
      <c r="BE21">
        <v>11209</v>
      </c>
      <c r="BF21">
        <v>8139</v>
      </c>
      <c r="BG21">
        <v>4299</v>
      </c>
      <c r="BJ21" t="str">
        <f t="shared" si="11"/>
        <v>CANADA                        15231     9961     4681</v>
      </c>
    </row>
    <row r="22" spans="1:62" ht="12.75">
      <c r="A22" t="s">
        <v>779</v>
      </c>
      <c r="B22">
        <v>70</v>
      </c>
      <c r="C22" t="s">
        <v>778</v>
      </c>
      <c r="D22">
        <v>10990</v>
      </c>
      <c r="E22">
        <v>8780</v>
      </c>
      <c r="F22">
        <v>3610</v>
      </c>
      <c r="G22">
        <v>9370</v>
      </c>
      <c r="H22">
        <v>7480</v>
      </c>
      <c r="I22">
        <v>3080</v>
      </c>
      <c r="J22">
        <v>8140</v>
      </c>
      <c r="K22">
        <v>6500</v>
      </c>
      <c r="L22">
        <v>2680</v>
      </c>
      <c r="M22" t="str">
        <f t="shared" si="0"/>
        <v>USD</v>
      </c>
      <c r="N22" t="s">
        <v>493</v>
      </c>
      <c r="O22">
        <f t="shared" si="1"/>
        <v>73</v>
      </c>
      <c r="P22" s="3">
        <f>HLOOKUP(STclid,$R$7:$Z$104,ROWS($X$10:X22)+3,FALSE)</f>
        <v>9370.078449999999</v>
      </c>
      <c r="Q22" t="str">
        <f t="shared" si="12"/>
        <v>Chile</v>
      </c>
      <c r="R22" s="3">
        <f t="shared" si="2"/>
        <v>10990.078449999999</v>
      </c>
      <c r="S22" s="3">
        <f t="shared" si="3"/>
        <v>8780.078449999999</v>
      </c>
      <c r="T22" s="3">
        <f t="shared" si="4"/>
        <v>3610.07845</v>
      </c>
      <c r="U22" s="3">
        <f t="shared" si="5"/>
        <v>9370.078449999999</v>
      </c>
      <c r="V22" s="3">
        <f t="shared" si="6"/>
        <v>7480.07845</v>
      </c>
      <c r="W22" s="3">
        <f t="shared" si="7"/>
        <v>3080.07845</v>
      </c>
      <c r="X22" s="3">
        <f t="shared" si="8"/>
        <v>8140.07845</v>
      </c>
      <c r="Y22" s="3">
        <f t="shared" si="9"/>
        <v>6500.07845</v>
      </c>
      <c r="Z22" s="3">
        <f t="shared" si="10"/>
        <v>2680.07845</v>
      </c>
      <c r="AA22" s="3" t="str">
        <f t="shared" si="13"/>
        <v>old</v>
      </c>
      <c r="AB22" s="49"/>
      <c r="AC22" s="49"/>
      <c r="AD22" s="49"/>
      <c r="AE22" t="s">
        <v>945</v>
      </c>
      <c r="AI22" t="str">
        <f t="shared" si="14"/>
        <v>CHILE (USD)</v>
      </c>
      <c r="AJ22" t="str">
        <f t="shared" si="15"/>
        <v>10990 8780 3610 </v>
      </c>
      <c r="AK22">
        <v>10990</v>
      </c>
      <c r="AL22">
        <v>8780</v>
      </c>
      <c r="AM22">
        <v>3610</v>
      </c>
      <c r="AO22" t="s">
        <v>726</v>
      </c>
      <c r="AS22" t="str">
        <f t="shared" si="16"/>
        <v>CHILE (USD)</v>
      </c>
      <c r="AT22" t="str">
        <f t="shared" si="17"/>
        <v>9370 7480 3080 </v>
      </c>
      <c r="AU22">
        <v>9370</v>
      </c>
      <c r="AV22">
        <v>7480</v>
      </c>
      <c r="AW22">
        <v>3080</v>
      </c>
      <c r="AY22" t="s">
        <v>612</v>
      </c>
      <c r="BC22" t="str">
        <f t="shared" si="18"/>
        <v>CHILE (USD)</v>
      </c>
      <c r="BD22" t="str">
        <f t="shared" si="19"/>
        <v>8140 6500 2680 </v>
      </c>
      <c r="BE22">
        <v>8140</v>
      </c>
      <c r="BF22">
        <v>6500</v>
      </c>
      <c r="BG22">
        <v>2680</v>
      </c>
      <c r="BJ22" t="str">
        <f t="shared" si="11"/>
        <v>CHILE                         8140     6500     2680</v>
      </c>
    </row>
    <row r="23" spans="1:62" ht="12.75">
      <c r="A23" t="s">
        <v>780</v>
      </c>
      <c r="B23">
        <v>89</v>
      </c>
      <c r="C23" t="s">
        <v>779</v>
      </c>
      <c r="D23">
        <v>114430</v>
      </c>
      <c r="E23">
        <v>71270</v>
      </c>
      <c r="F23">
        <v>35930</v>
      </c>
      <c r="G23">
        <v>97480</v>
      </c>
      <c r="H23">
        <v>60710</v>
      </c>
      <c r="I23">
        <v>30600</v>
      </c>
      <c r="J23">
        <v>84760</v>
      </c>
      <c r="K23">
        <v>52780</v>
      </c>
      <c r="L23">
        <v>26610</v>
      </c>
      <c r="M23" t="str">
        <f t="shared" si="0"/>
        <v>CNY</v>
      </c>
      <c r="N23">
        <v>39563</v>
      </c>
      <c r="O23">
        <f t="shared" si="1"/>
        <v>38</v>
      </c>
      <c r="P23" s="3">
        <f>HLOOKUP(STclid,$R$7:$Z$104,ROWS($X$10:X23)+3,FALSE)</f>
        <v>13928.777456930055</v>
      </c>
      <c r="Q23" t="str">
        <f t="shared" si="12"/>
        <v>China</v>
      </c>
      <c r="R23" s="3">
        <f t="shared" si="2"/>
        <v>16350.725017121526</v>
      </c>
      <c r="S23" s="3">
        <f t="shared" si="3"/>
        <v>10183.689223737229</v>
      </c>
      <c r="T23" s="3">
        <f t="shared" si="4"/>
        <v>5134.035726559263</v>
      </c>
      <c r="U23" s="3">
        <f t="shared" si="5"/>
        <v>13928.777456930055</v>
      </c>
      <c r="V23" s="3">
        <f t="shared" si="6"/>
        <v>8674.794460573694</v>
      </c>
      <c r="W23" s="3">
        <f t="shared" si="7"/>
        <v>4372.443956894334</v>
      </c>
      <c r="X23" s="3">
        <f t="shared" si="8"/>
        <v>12111.245128573979</v>
      </c>
      <c r="Y23" s="3">
        <f t="shared" si="9"/>
        <v>7541.694510584411</v>
      </c>
      <c r="Z23" s="3">
        <f t="shared" si="10"/>
        <v>3802.321787858112</v>
      </c>
      <c r="AA23" s="3">
        <f t="shared" si="13"/>
        <v>39563</v>
      </c>
      <c r="AB23" s="49"/>
      <c r="AC23" s="49"/>
      <c r="AD23" s="49"/>
      <c r="AE23" t="s">
        <v>946</v>
      </c>
      <c r="AI23" t="str">
        <f t="shared" si="14"/>
        <v>CHINA (CNY)</v>
      </c>
      <c r="AJ23" t="str">
        <f t="shared" si="15"/>
        <v>79250 57510 32260 </v>
      </c>
      <c r="AK23">
        <v>79250</v>
      </c>
      <c r="AL23">
        <v>57510</v>
      </c>
      <c r="AM23">
        <v>32260</v>
      </c>
      <c r="AO23" t="s">
        <v>727</v>
      </c>
      <c r="AS23" t="str">
        <f t="shared" si="16"/>
        <v>CHINA (CNY)</v>
      </c>
      <c r="AT23" t="str">
        <f t="shared" si="17"/>
        <v>67510 48990 27480 </v>
      </c>
      <c r="AU23">
        <v>67510</v>
      </c>
      <c r="AV23">
        <v>48990</v>
      </c>
      <c r="AW23">
        <v>27480</v>
      </c>
      <c r="AY23" t="s">
        <v>613</v>
      </c>
      <c r="BC23" t="str">
        <f t="shared" si="18"/>
        <v>CHINA (CNY)</v>
      </c>
      <c r="BD23" t="str">
        <f t="shared" si="19"/>
        <v>58700 42600 23900 </v>
      </c>
      <c r="BE23">
        <v>58700</v>
      </c>
      <c r="BF23">
        <v>42600</v>
      </c>
      <c r="BG23">
        <v>23900</v>
      </c>
      <c r="BJ23" t="str">
        <f t="shared" si="11"/>
        <v>CHINA                         12111     7542     3802</v>
      </c>
    </row>
    <row r="24" spans="1:62" ht="12.75">
      <c r="A24" t="s">
        <v>781</v>
      </c>
      <c r="B24">
        <v>47</v>
      </c>
      <c r="C24" t="s">
        <v>780</v>
      </c>
      <c r="D24">
        <v>10990</v>
      </c>
      <c r="E24">
        <v>8780</v>
      </c>
      <c r="F24">
        <v>3610</v>
      </c>
      <c r="G24">
        <v>9370</v>
      </c>
      <c r="H24">
        <v>7480</v>
      </c>
      <c r="I24">
        <v>3080</v>
      </c>
      <c r="J24">
        <v>8140</v>
      </c>
      <c r="K24">
        <v>6500</v>
      </c>
      <c r="L24">
        <v>2680</v>
      </c>
      <c r="M24" t="str">
        <f t="shared" si="0"/>
        <v>USD</v>
      </c>
      <c r="N24" t="s">
        <v>493</v>
      </c>
      <c r="O24">
        <f t="shared" si="1"/>
        <v>72</v>
      </c>
      <c r="P24" s="3">
        <f>HLOOKUP(STclid,$R$7:$Z$104,ROWS($X$10:X24)+3,FALSE)</f>
        <v>9370.079179999999</v>
      </c>
      <c r="Q24" t="str">
        <f t="shared" si="12"/>
        <v>Colombia</v>
      </c>
      <c r="R24" s="3">
        <f t="shared" si="2"/>
        <v>10990.079179999999</v>
      </c>
      <c r="S24" s="3">
        <f t="shared" si="3"/>
        <v>8780.079179999999</v>
      </c>
      <c r="T24" s="3">
        <f t="shared" si="4"/>
        <v>3610.07918</v>
      </c>
      <c r="U24" s="3">
        <f t="shared" si="5"/>
        <v>9370.079179999999</v>
      </c>
      <c r="V24" s="3">
        <f t="shared" si="6"/>
        <v>7480.07918</v>
      </c>
      <c r="W24" s="3">
        <f t="shared" si="7"/>
        <v>3080.07918</v>
      </c>
      <c r="X24" s="3">
        <f t="shared" si="8"/>
        <v>8140.07918</v>
      </c>
      <c r="Y24" s="3">
        <f t="shared" si="9"/>
        <v>6500.07918</v>
      </c>
      <c r="Z24" s="3">
        <f t="shared" si="10"/>
        <v>2680.07918</v>
      </c>
      <c r="AA24" s="3" t="str">
        <f t="shared" si="13"/>
        <v>old</v>
      </c>
      <c r="AB24" s="49"/>
      <c r="AC24" s="49"/>
      <c r="AD24" s="49"/>
      <c r="AE24" t="s">
        <v>947</v>
      </c>
      <c r="AI24" t="str">
        <f t="shared" si="14"/>
        <v>COLOMBIA (USD)</v>
      </c>
      <c r="AJ24" t="str">
        <f t="shared" si="15"/>
        <v>10990 8780 3610 </v>
      </c>
      <c r="AK24">
        <v>10990</v>
      </c>
      <c r="AL24">
        <v>8780</v>
      </c>
      <c r="AM24">
        <v>3610</v>
      </c>
      <c r="AO24" t="s">
        <v>728</v>
      </c>
      <c r="AS24" t="str">
        <f t="shared" si="16"/>
        <v>COLOMBIA (USD)</v>
      </c>
      <c r="AT24" t="str">
        <f t="shared" si="17"/>
        <v>9370 7480 3080 </v>
      </c>
      <c r="AU24">
        <v>9370</v>
      </c>
      <c r="AV24">
        <v>7480</v>
      </c>
      <c r="AW24">
        <v>3080</v>
      </c>
      <c r="AY24" t="s">
        <v>614</v>
      </c>
      <c r="BC24" t="str">
        <f t="shared" si="18"/>
        <v>COLOMBIA (USD)</v>
      </c>
      <c r="BD24" t="str">
        <f t="shared" si="19"/>
        <v>8140 6500 2680 </v>
      </c>
      <c r="BE24">
        <v>8140</v>
      </c>
      <c r="BF24">
        <v>6500</v>
      </c>
      <c r="BG24">
        <v>2680</v>
      </c>
      <c r="BJ24" t="str">
        <f t="shared" si="11"/>
        <v>COLOMBIA                      8140     6500     2680</v>
      </c>
    </row>
    <row r="25" spans="1:62" ht="12.75">
      <c r="A25" t="s">
        <v>782</v>
      </c>
      <c r="B25">
        <v>22</v>
      </c>
      <c r="C25" t="s">
        <v>781</v>
      </c>
      <c r="D25">
        <v>10171</v>
      </c>
      <c r="E25">
        <v>8122</v>
      </c>
      <c r="F25">
        <v>4471</v>
      </c>
      <c r="G25">
        <v>8663</v>
      </c>
      <c r="H25">
        <v>6926</v>
      </c>
      <c r="I25">
        <v>3785</v>
      </c>
      <c r="J25">
        <v>7530</v>
      </c>
      <c r="K25">
        <v>6011</v>
      </c>
      <c r="L25">
        <v>3327</v>
      </c>
      <c r="M25" t="str">
        <f t="shared" si="0"/>
        <v>USD</v>
      </c>
      <c r="N25" t="s">
        <v>493</v>
      </c>
      <c r="O25">
        <f t="shared" si="1"/>
        <v>81</v>
      </c>
      <c r="P25" s="3">
        <f>HLOOKUP(STclid,$R$7:$Z$104,ROWS($X$10:X25)+3,FALSE)</f>
        <v>8663.079189999999</v>
      </c>
      <c r="Q25" t="str">
        <f t="shared" si="12"/>
        <v>Comoros</v>
      </c>
      <c r="R25" s="3">
        <f t="shared" si="2"/>
        <v>10171.079189999999</v>
      </c>
      <c r="S25" s="3">
        <f t="shared" si="3"/>
        <v>8122.0791899999995</v>
      </c>
      <c r="T25" s="3">
        <f t="shared" si="4"/>
        <v>4471.0791899999995</v>
      </c>
      <c r="U25" s="3">
        <f t="shared" si="5"/>
        <v>8663.079189999999</v>
      </c>
      <c r="V25" s="3">
        <f t="shared" si="6"/>
        <v>6926.0791899999995</v>
      </c>
      <c r="W25" s="3">
        <f t="shared" si="7"/>
        <v>3785.0791900000004</v>
      </c>
      <c r="X25" s="3">
        <f t="shared" si="8"/>
        <v>7530.0791899999995</v>
      </c>
      <c r="Y25" s="3">
        <f t="shared" si="9"/>
        <v>6011.0791899999995</v>
      </c>
      <c r="Z25" s="3">
        <f t="shared" si="10"/>
        <v>3327.0791900000004</v>
      </c>
      <c r="AA25" s="3" t="str">
        <f t="shared" si="13"/>
        <v>old</v>
      </c>
      <c r="AB25" s="49"/>
      <c r="AC25" s="49"/>
      <c r="AD25" s="49"/>
      <c r="AE25" t="s">
        <v>948</v>
      </c>
      <c r="AI25" t="str">
        <f t="shared" si="14"/>
        <v>COMOROS (USD)</v>
      </c>
      <c r="AJ25" t="str">
        <f t="shared" si="15"/>
        <v>10171 8122 4471 </v>
      </c>
      <c r="AK25">
        <v>10171</v>
      </c>
      <c r="AL25">
        <v>8122</v>
      </c>
      <c r="AM25">
        <v>4471</v>
      </c>
      <c r="AO25" t="s">
        <v>729</v>
      </c>
      <c r="AS25" t="str">
        <f t="shared" si="16"/>
        <v>COMOROS (USD)</v>
      </c>
      <c r="AT25" t="str">
        <f t="shared" si="17"/>
        <v>8663 6926 3785 </v>
      </c>
      <c r="AU25">
        <v>8663</v>
      </c>
      <c r="AV25">
        <v>6926</v>
      </c>
      <c r="AW25">
        <v>3785</v>
      </c>
      <c r="AY25" t="s">
        <v>615</v>
      </c>
      <c r="BC25" t="str">
        <f t="shared" si="18"/>
        <v>COMOROS (USD)</v>
      </c>
      <c r="BD25" t="str">
        <f t="shared" si="19"/>
        <v>7530 6011 3327 </v>
      </c>
      <c r="BE25">
        <v>7530</v>
      </c>
      <c r="BF25">
        <v>6011</v>
      </c>
      <c r="BG25">
        <v>3327</v>
      </c>
      <c r="BJ25" t="str">
        <f t="shared" si="11"/>
        <v>COMOROS                       7530     6011     3327</v>
      </c>
    </row>
    <row r="26" spans="1:62" ht="12.75">
      <c r="A26" t="s">
        <v>783</v>
      </c>
      <c r="B26">
        <v>77</v>
      </c>
      <c r="C26" t="s">
        <v>782</v>
      </c>
      <c r="D26">
        <v>11211</v>
      </c>
      <c r="E26">
        <v>8934</v>
      </c>
      <c r="F26">
        <v>4961</v>
      </c>
      <c r="G26">
        <v>9547</v>
      </c>
      <c r="H26">
        <v>7613</v>
      </c>
      <c r="I26">
        <v>4222</v>
      </c>
      <c r="J26">
        <v>8299</v>
      </c>
      <c r="K26">
        <v>6625</v>
      </c>
      <c r="L26">
        <v>3671</v>
      </c>
      <c r="M26" t="str">
        <f t="shared" si="0"/>
        <v>USD</v>
      </c>
      <c r="N26" t="s">
        <v>493</v>
      </c>
      <c r="O26">
        <f t="shared" si="1"/>
        <v>66</v>
      </c>
      <c r="P26" s="3">
        <f>HLOOKUP(STclid,$R$7:$Z$104,ROWS($X$10:X26)+3,FALSE)</f>
        <v>9547.079249999999</v>
      </c>
      <c r="Q26" t="str">
        <f t="shared" si="12"/>
        <v>Costa Rica</v>
      </c>
      <c r="R26" s="3">
        <f t="shared" si="2"/>
        <v>11211.079249999999</v>
      </c>
      <c r="S26" s="3">
        <f t="shared" si="3"/>
        <v>8934.079249999999</v>
      </c>
      <c r="T26" s="3">
        <f t="shared" si="4"/>
        <v>4961.07925</v>
      </c>
      <c r="U26" s="3">
        <f t="shared" si="5"/>
        <v>9547.079249999999</v>
      </c>
      <c r="V26" s="3">
        <f t="shared" si="6"/>
        <v>7613.07925</v>
      </c>
      <c r="W26" s="3">
        <f t="shared" si="7"/>
        <v>4222.07925</v>
      </c>
      <c r="X26" s="3">
        <f t="shared" si="8"/>
        <v>8299.079249999999</v>
      </c>
      <c r="Y26" s="3">
        <f t="shared" si="9"/>
        <v>6625.07925</v>
      </c>
      <c r="Z26" s="3">
        <f t="shared" si="10"/>
        <v>3671.0792500000002</v>
      </c>
      <c r="AA26" s="3" t="str">
        <f t="shared" si="13"/>
        <v>old</v>
      </c>
      <c r="AB26" s="49"/>
      <c r="AC26" s="49"/>
      <c r="AD26" s="49"/>
      <c r="AE26" t="s">
        <v>949</v>
      </c>
      <c r="AI26" t="str">
        <f t="shared" si="14"/>
        <v>COSTA RICA (USD)</v>
      </c>
      <c r="AJ26" t="str">
        <f t="shared" si="15"/>
        <v>11211 8934 4961 </v>
      </c>
      <c r="AK26">
        <v>11211</v>
      </c>
      <c r="AL26">
        <v>8934</v>
      </c>
      <c r="AM26">
        <v>4961</v>
      </c>
      <c r="AO26" t="s">
        <v>730</v>
      </c>
      <c r="AS26" t="str">
        <f t="shared" si="16"/>
        <v>COSTA RICA (USD)</v>
      </c>
      <c r="AT26" t="str">
        <f t="shared" si="17"/>
        <v>9547 7613 4222 </v>
      </c>
      <c r="AU26">
        <v>9547</v>
      </c>
      <c r="AV26">
        <v>7613</v>
      </c>
      <c r="AW26">
        <v>4222</v>
      </c>
      <c r="AY26" t="s">
        <v>616</v>
      </c>
      <c r="BC26" t="str">
        <f t="shared" si="18"/>
        <v>COSTA RICA (USD)</v>
      </c>
      <c r="BD26" t="str">
        <f t="shared" si="19"/>
        <v>8299 6625 3671 </v>
      </c>
      <c r="BE26">
        <v>8299</v>
      </c>
      <c r="BF26">
        <v>6625</v>
      </c>
      <c r="BG26">
        <v>3671</v>
      </c>
      <c r="BJ26" t="str">
        <f t="shared" si="11"/>
        <v>COSTA RICA                    8299     6625     3671</v>
      </c>
    </row>
    <row r="27" spans="1:62" ht="12.75">
      <c r="A27" t="s">
        <v>784</v>
      </c>
      <c r="B27">
        <v>95</v>
      </c>
      <c r="C27" t="s">
        <v>783</v>
      </c>
      <c r="D27">
        <v>13629</v>
      </c>
      <c r="E27">
        <v>7250</v>
      </c>
      <c r="F27">
        <v>3410</v>
      </c>
      <c r="G27">
        <v>11549</v>
      </c>
      <c r="H27">
        <v>6150</v>
      </c>
      <c r="I27">
        <v>2910</v>
      </c>
      <c r="J27">
        <v>9999</v>
      </c>
      <c r="K27">
        <v>5340</v>
      </c>
      <c r="L27">
        <v>2370</v>
      </c>
      <c r="M27" t="str">
        <f t="shared" si="0"/>
        <v>EUR</v>
      </c>
      <c r="N27">
        <v>39563</v>
      </c>
      <c r="O27">
        <f t="shared" si="1"/>
        <v>26</v>
      </c>
      <c r="P27" s="3">
        <f>HLOOKUP(STclid,$R$7:$Z$104,ROWS($X$10:X27)+3,FALSE)</f>
        <v>17963.99302687665</v>
      </c>
      <c r="Q27" t="str">
        <f t="shared" si="12"/>
        <v>Croatia</v>
      </c>
      <c r="R27" s="3">
        <f t="shared" si="2"/>
        <v>21199.33289310779</v>
      </c>
      <c r="S27" s="3">
        <f t="shared" si="3"/>
        <v>11277.105486046037</v>
      </c>
      <c r="T27" s="3">
        <f t="shared" si="4"/>
        <v>5304.170348388552</v>
      </c>
      <c r="U27" s="3">
        <f t="shared" si="5"/>
        <v>17963.99302687665</v>
      </c>
      <c r="V27" s="3">
        <f t="shared" si="6"/>
        <v>9566.108441404569</v>
      </c>
      <c r="W27" s="3">
        <f t="shared" si="7"/>
        <v>4526.444419006066</v>
      </c>
      <c r="X27" s="3">
        <f t="shared" si="8"/>
        <v>15553.042645790943</v>
      </c>
      <c r="Y27" s="3">
        <f t="shared" si="9"/>
        <v>8306.192435804944</v>
      </c>
      <c r="Z27" s="3">
        <f t="shared" si="10"/>
        <v>3686.5004152729816</v>
      </c>
      <c r="AA27" s="3">
        <f t="shared" si="13"/>
        <v>39563</v>
      </c>
      <c r="AB27" s="49"/>
      <c r="AC27" s="49"/>
      <c r="AD27" s="49"/>
      <c r="AE27" t="s">
        <v>950</v>
      </c>
      <c r="AI27" t="str">
        <f t="shared" si="14"/>
        <v>CROATIA (EUR)</v>
      </c>
      <c r="AJ27" t="str">
        <f t="shared" si="15"/>
        <v>7099 4809 2659 </v>
      </c>
      <c r="AK27">
        <v>7099</v>
      </c>
      <c r="AL27">
        <v>4809</v>
      </c>
      <c r="AM27">
        <v>2659</v>
      </c>
      <c r="AO27" t="s">
        <v>731</v>
      </c>
      <c r="AS27" t="str">
        <f t="shared" si="16"/>
        <v>CROATIA (EUR)</v>
      </c>
      <c r="AT27" t="str">
        <f t="shared" si="17"/>
        <v>6049 4099 2269 </v>
      </c>
      <c r="AU27">
        <v>6049</v>
      </c>
      <c r="AV27">
        <v>4099</v>
      </c>
      <c r="AW27">
        <v>2269</v>
      </c>
      <c r="AY27" t="s">
        <v>617</v>
      </c>
      <c r="BC27" t="str">
        <f t="shared" si="18"/>
        <v>CROATIA (EUR)</v>
      </c>
      <c r="BD27" t="str">
        <f t="shared" si="19"/>
        <v>5259 3559 1969 </v>
      </c>
      <c r="BE27">
        <v>5259</v>
      </c>
      <c r="BF27">
        <v>3559</v>
      </c>
      <c r="BG27">
        <v>1969</v>
      </c>
      <c r="BJ27" t="str">
        <f t="shared" si="11"/>
        <v>CROATIA                       15553     8306     3687</v>
      </c>
    </row>
    <row r="28" spans="1:62" ht="12.75">
      <c r="A28" t="s">
        <v>785</v>
      </c>
      <c r="B28">
        <v>79</v>
      </c>
      <c r="C28" t="s">
        <v>784</v>
      </c>
      <c r="D28">
        <v>14095.152832843074</v>
      </c>
      <c r="E28">
        <v>8022.1255915078655</v>
      </c>
      <c r="F28">
        <v>3689.7301445197595</v>
      </c>
      <c r="G28">
        <v>11936.948458882209</v>
      </c>
      <c r="H28">
        <v>6786.673487658268</v>
      </c>
      <c r="I28">
        <v>3167.2848190305663</v>
      </c>
      <c r="J28">
        <v>10406.062156285969</v>
      </c>
      <c r="K28">
        <v>5863.921217547</v>
      </c>
      <c r="L28">
        <v>2610.3082235579996</v>
      </c>
      <c r="M28" t="str">
        <f t="shared" si="0"/>
        <v>CYP</v>
      </c>
      <c r="N28">
        <v>39563</v>
      </c>
      <c r="O28">
        <f t="shared" si="1"/>
        <v>18</v>
      </c>
      <c r="P28" s="3">
        <f>HLOOKUP(STclid,$R$7:$Z$104,ROWS($X$10:X28)+3,FALSE)</f>
        <v>18567.428888349987</v>
      </c>
      <c r="Q28" t="str">
        <f t="shared" si="12"/>
        <v>Cyprus</v>
      </c>
      <c r="R28" s="3">
        <f t="shared" si="2"/>
        <v>21924.411893422108</v>
      </c>
      <c r="S28" s="3">
        <f t="shared" si="3"/>
        <v>12478.110382556952</v>
      </c>
      <c r="T28" s="3">
        <f t="shared" si="4"/>
        <v>5739.277831634405</v>
      </c>
      <c r="U28" s="3">
        <f t="shared" si="5"/>
        <v>18567.428888349987</v>
      </c>
      <c r="V28" s="3">
        <f t="shared" si="6"/>
        <v>10556.424111209</v>
      </c>
      <c r="W28" s="3">
        <f t="shared" si="7"/>
        <v>4926.639278999169</v>
      </c>
      <c r="X28" s="3">
        <f t="shared" si="8"/>
        <v>16186.208943418833</v>
      </c>
      <c r="Y28" s="3">
        <f t="shared" si="9"/>
        <v>9121.127377484834</v>
      </c>
      <c r="Z28" s="3">
        <f t="shared" si="10"/>
        <v>4060.2889982827796</v>
      </c>
      <c r="AA28" s="3">
        <f t="shared" si="13"/>
        <v>39563</v>
      </c>
      <c r="AB28" s="49"/>
      <c r="AC28" s="49"/>
      <c r="AD28" s="49"/>
      <c r="AE28" t="s">
        <v>951</v>
      </c>
      <c r="AI28" t="str">
        <f t="shared" si="14"/>
        <v>CYPRUS (CYP)</v>
      </c>
      <c r="AJ28" t="str">
        <f t="shared" si="15"/>
        <v>5430 3610 1820 </v>
      </c>
      <c r="AK28">
        <v>5430</v>
      </c>
      <c r="AL28">
        <v>3610</v>
      </c>
      <c r="AM28">
        <v>1820</v>
      </c>
      <c r="AO28" t="s">
        <v>732</v>
      </c>
      <c r="AS28" t="str">
        <f t="shared" si="16"/>
        <v>CYPRUS (CYP)</v>
      </c>
      <c r="AT28" t="str">
        <f t="shared" si="17"/>
        <v>4630 3080 1550 </v>
      </c>
      <c r="AU28">
        <v>4630</v>
      </c>
      <c r="AV28">
        <v>3080</v>
      </c>
      <c r="AW28">
        <v>1550</v>
      </c>
      <c r="AY28" t="s">
        <v>618</v>
      </c>
      <c r="BC28" t="str">
        <f t="shared" si="18"/>
        <v>CYPRUS (CYP)</v>
      </c>
      <c r="BD28" t="str">
        <f t="shared" si="19"/>
        <v>4020 2670 1350 </v>
      </c>
      <c r="BE28">
        <v>4020</v>
      </c>
      <c r="BF28">
        <v>2670</v>
      </c>
      <c r="BG28">
        <v>1350</v>
      </c>
      <c r="BJ28" t="str">
        <f t="shared" si="11"/>
        <v>CYPRUS                        16186     9121     4060</v>
      </c>
    </row>
    <row r="29" spans="1:62" ht="12.75">
      <c r="A29" t="s">
        <v>786</v>
      </c>
      <c r="B29">
        <v>39</v>
      </c>
      <c r="C29" t="s">
        <v>785</v>
      </c>
      <c r="D29">
        <v>459633.4641363783</v>
      </c>
      <c r="E29">
        <v>220788.03795432617</v>
      </c>
      <c r="F29">
        <v>101679.69443550982</v>
      </c>
      <c r="G29">
        <v>391478.14088131237</v>
      </c>
      <c r="H29">
        <v>186886.42328723063</v>
      </c>
      <c r="I29">
        <v>86866.6001929881</v>
      </c>
      <c r="J29">
        <v>340399.37278867804</v>
      </c>
      <c r="K29">
        <v>161535.6609842393</v>
      </c>
      <c r="L29">
        <v>71776.86072692185</v>
      </c>
      <c r="M29" t="str">
        <f t="shared" si="0"/>
        <v>CZK</v>
      </c>
      <c r="N29">
        <v>39563</v>
      </c>
      <c r="O29">
        <f t="shared" si="1"/>
        <v>2</v>
      </c>
      <c r="P29" s="3">
        <f>HLOOKUP(STclid,$R$7:$Z$104,ROWS($X$10:X29)+3,FALSE)</f>
        <v>23965.244050352634</v>
      </c>
      <c r="Q29" t="str">
        <f t="shared" si="12"/>
        <v>Czech Rep</v>
      </c>
      <c r="R29" s="3">
        <f t="shared" si="2"/>
        <v>28137.516567849463</v>
      </c>
      <c r="S29" s="3">
        <f t="shared" si="3"/>
        <v>13516.087749153008</v>
      </c>
      <c r="T29" s="3">
        <f t="shared" si="4"/>
        <v>6224.618139239734</v>
      </c>
      <c r="U29" s="3">
        <f t="shared" si="5"/>
        <v>23965.244050352634</v>
      </c>
      <c r="V29" s="3">
        <f t="shared" si="6"/>
        <v>11440.728578088165</v>
      </c>
      <c r="W29" s="3">
        <f t="shared" si="7"/>
        <v>5317.8031898649615</v>
      </c>
      <c r="X29" s="3">
        <f t="shared" si="8"/>
        <v>20838.349038162203</v>
      </c>
      <c r="Y29" s="3">
        <f t="shared" si="9"/>
        <v>9888.82795165392</v>
      </c>
      <c r="Z29" s="3">
        <f t="shared" si="10"/>
        <v>4394.052816987435</v>
      </c>
      <c r="AA29" s="3">
        <f t="shared" si="13"/>
        <v>39563</v>
      </c>
      <c r="AB29" s="49"/>
      <c r="AC29" s="49"/>
      <c r="AD29" s="49"/>
      <c r="AE29" t="s">
        <v>952</v>
      </c>
      <c r="AI29" t="str">
        <f t="shared" si="14"/>
        <v>CZECH REP (CZK)</v>
      </c>
      <c r="AJ29" t="str">
        <f t="shared" si="15"/>
        <v>317600 208900 104200 </v>
      </c>
      <c r="AK29">
        <v>317600</v>
      </c>
      <c r="AL29">
        <v>208900</v>
      </c>
      <c r="AM29">
        <v>104200</v>
      </c>
      <c r="AO29" t="s">
        <v>733</v>
      </c>
      <c r="AS29" t="str">
        <f t="shared" si="16"/>
        <v>CZECH REP (CZK)</v>
      </c>
      <c r="AT29" t="str">
        <f t="shared" si="17"/>
        <v>270500 178000 88700 </v>
      </c>
      <c r="AU29">
        <v>270500</v>
      </c>
      <c r="AV29">
        <v>178000</v>
      </c>
      <c r="AW29">
        <v>88700</v>
      </c>
      <c r="AY29" t="s">
        <v>619</v>
      </c>
      <c r="BC29" t="str">
        <f t="shared" si="18"/>
        <v>CZECH REP (CZK)</v>
      </c>
      <c r="BD29" t="str">
        <f t="shared" si="19"/>
        <v>235200 154700 77200 </v>
      </c>
      <c r="BE29">
        <v>235200</v>
      </c>
      <c r="BF29">
        <v>154700</v>
      </c>
      <c r="BG29">
        <v>77200</v>
      </c>
      <c r="BJ29" t="str">
        <f t="shared" si="11"/>
        <v>CZECH REP                     20838     9889     4394</v>
      </c>
    </row>
    <row r="30" spans="1:62" ht="12.75">
      <c r="A30" t="s">
        <v>787</v>
      </c>
      <c r="B30">
        <v>51</v>
      </c>
      <c r="C30" t="s">
        <v>786</v>
      </c>
      <c r="D30">
        <v>101520</v>
      </c>
      <c r="E30">
        <v>52560</v>
      </c>
      <c r="F30">
        <v>24990</v>
      </c>
      <c r="G30">
        <v>86030</v>
      </c>
      <c r="H30">
        <v>44610</v>
      </c>
      <c r="I30">
        <v>21330</v>
      </c>
      <c r="J30">
        <v>74930</v>
      </c>
      <c r="K30">
        <v>38660</v>
      </c>
      <c r="L30">
        <v>17490</v>
      </c>
      <c r="M30" t="str">
        <f t="shared" si="0"/>
        <v>DKK</v>
      </c>
      <c r="N30">
        <v>39563</v>
      </c>
      <c r="O30">
        <f t="shared" si="1"/>
        <v>28</v>
      </c>
      <c r="P30" s="3">
        <f>HLOOKUP(STclid,$R$7:$Z$104,ROWS($X$10:X30)+3,FALSE)</f>
        <v>17882.38812348625</v>
      </c>
      <c r="Q30" t="str">
        <f t="shared" si="12"/>
        <v>Denmark</v>
      </c>
      <c r="R30" s="3">
        <f t="shared" si="2"/>
        <v>21102.159891762454</v>
      </c>
      <c r="S30" s="3">
        <f t="shared" si="3"/>
        <v>10925.269912756447</v>
      </c>
      <c r="T30" s="3">
        <f t="shared" si="4"/>
        <v>5194.53346011765</v>
      </c>
      <c r="U30" s="3">
        <f t="shared" si="5"/>
        <v>17882.38812348625</v>
      </c>
      <c r="V30" s="3">
        <f t="shared" si="6"/>
        <v>9272.772459057554</v>
      </c>
      <c r="W30" s="3">
        <f t="shared" si="7"/>
        <v>4433.761047471368</v>
      </c>
      <c r="X30" s="3">
        <f t="shared" si="8"/>
        <v>15575.12752775572</v>
      </c>
      <c r="Y30" s="3">
        <f t="shared" si="9"/>
        <v>8035.997635220022</v>
      </c>
      <c r="Z30" s="3">
        <f t="shared" si="10"/>
        <v>3635.573598137563</v>
      </c>
      <c r="AA30" s="3">
        <f t="shared" si="13"/>
        <v>39563</v>
      </c>
      <c r="AB30" s="49"/>
      <c r="AC30" s="49"/>
      <c r="AD30" s="49"/>
      <c r="AE30" t="s">
        <v>953</v>
      </c>
      <c r="AI30" t="str">
        <f t="shared" si="14"/>
        <v>DENMARK (DKK)</v>
      </c>
      <c r="AJ30" t="str">
        <f t="shared" si="15"/>
        <v>58320 38670 20810 </v>
      </c>
      <c r="AK30">
        <v>58320</v>
      </c>
      <c r="AL30">
        <v>38670</v>
      </c>
      <c r="AM30">
        <v>20810</v>
      </c>
      <c r="AO30" t="s">
        <v>734</v>
      </c>
      <c r="AS30" t="str">
        <f t="shared" si="16"/>
        <v>DENMARK (DKK)</v>
      </c>
      <c r="AT30" t="str">
        <f t="shared" si="17"/>
        <v>49680 32940 17730 </v>
      </c>
      <c r="AU30">
        <v>49680</v>
      </c>
      <c r="AV30">
        <v>32940</v>
      </c>
      <c r="AW30">
        <v>17730</v>
      </c>
      <c r="AY30" t="s">
        <v>620</v>
      </c>
      <c r="BC30" t="str">
        <f t="shared" si="18"/>
        <v>DENMARK (DKK)</v>
      </c>
      <c r="BD30" t="str">
        <f t="shared" si="19"/>
        <v>43200 28640 15420 </v>
      </c>
      <c r="BE30">
        <v>43200</v>
      </c>
      <c r="BF30">
        <v>28640</v>
      </c>
      <c r="BG30">
        <v>15420</v>
      </c>
      <c r="BJ30" t="str">
        <f t="shared" si="11"/>
        <v>DENMARK                       15575     8036     3636</v>
      </c>
    </row>
    <row r="31" spans="1:62" ht="12.75">
      <c r="A31" t="s">
        <v>788</v>
      </c>
      <c r="B31">
        <v>90</v>
      </c>
      <c r="C31" t="s">
        <v>787</v>
      </c>
      <c r="D31">
        <v>10171</v>
      </c>
      <c r="E31">
        <v>8122</v>
      </c>
      <c r="F31">
        <v>4471</v>
      </c>
      <c r="G31">
        <v>8663</v>
      </c>
      <c r="H31">
        <v>6926</v>
      </c>
      <c r="I31">
        <v>3781</v>
      </c>
      <c r="J31">
        <v>7530</v>
      </c>
      <c r="K31">
        <v>6011</v>
      </c>
      <c r="L31">
        <v>3327</v>
      </c>
      <c r="M31" t="str">
        <f t="shared" si="0"/>
        <v>USD</v>
      </c>
      <c r="N31" t="s">
        <v>493</v>
      </c>
      <c r="O31">
        <f t="shared" si="1"/>
        <v>80</v>
      </c>
      <c r="P31" s="3">
        <f>HLOOKUP(STclid,$R$7:$Z$104,ROWS($X$10:X31)+3,FALSE)</f>
        <v>8663.080189999999</v>
      </c>
      <c r="Q31" t="str">
        <f t="shared" si="12"/>
        <v>Dominican Rep</v>
      </c>
      <c r="R31" s="3">
        <f t="shared" si="2"/>
        <v>10171.080189999999</v>
      </c>
      <c r="S31" s="3">
        <f t="shared" si="3"/>
        <v>8122.08019</v>
      </c>
      <c r="T31" s="3">
        <f t="shared" si="4"/>
        <v>4471.08019</v>
      </c>
      <c r="U31" s="3">
        <f t="shared" si="5"/>
        <v>8663.080189999999</v>
      </c>
      <c r="V31" s="3">
        <f t="shared" si="6"/>
        <v>6926.08019</v>
      </c>
      <c r="W31" s="3">
        <f t="shared" si="7"/>
        <v>3781.0801900000006</v>
      </c>
      <c r="X31" s="3">
        <f t="shared" si="8"/>
        <v>7530.08019</v>
      </c>
      <c r="Y31" s="3">
        <f t="shared" si="9"/>
        <v>6011.08019</v>
      </c>
      <c r="Z31" s="3">
        <f t="shared" si="10"/>
        <v>3327.0801900000006</v>
      </c>
      <c r="AA31" s="3" t="str">
        <f t="shared" si="13"/>
        <v>old</v>
      </c>
      <c r="AB31" s="49"/>
      <c r="AC31" s="49"/>
      <c r="AD31" s="49"/>
      <c r="AE31" t="s">
        <v>954</v>
      </c>
      <c r="AI31" t="str">
        <f t="shared" si="14"/>
        <v>DOMINICAN REP (USD)</v>
      </c>
      <c r="AJ31" t="str">
        <f t="shared" si="15"/>
        <v>10171 8122 4471 </v>
      </c>
      <c r="AK31">
        <v>10171</v>
      </c>
      <c r="AL31">
        <v>8122</v>
      </c>
      <c r="AM31">
        <v>4471</v>
      </c>
      <c r="AO31" t="s">
        <v>735</v>
      </c>
      <c r="AS31" t="str">
        <f t="shared" si="16"/>
        <v>DOMINICAN REP (USD)</v>
      </c>
      <c r="AT31" t="str">
        <f t="shared" si="17"/>
        <v>8663 6926 3781 </v>
      </c>
      <c r="AU31">
        <v>8663</v>
      </c>
      <c r="AV31">
        <v>6926</v>
      </c>
      <c r="AW31">
        <v>3781</v>
      </c>
      <c r="AY31" t="s">
        <v>621</v>
      </c>
      <c r="BC31" t="str">
        <f t="shared" si="18"/>
        <v>DOMINICAN REP (USD)</v>
      </c>
      <c r="BD31" t="str">
        <f t="shared" si="19"/>
        <v>7530 6011 3327 </v>
      </c>
      <c r="BE31">
        <v>7530</v>
      </c>
      <c r="BF31">
        <v>6011</v>
      </c>
      <c r="BG31">
        <v>3327</v>
      </c>
      <c r="BJ31" t="str">
        <f t="shared" si="11"/>
        <v>DOMINICAN REP                 7530     6011     3327</v>
      </c>
    </row>
    <row r="32" spans="1:62" ht="12.75">
      <c r="A32" t="s">
        <v>789</v>
      </c>
      <c r="B32">
        <v>18</v>
      </c>
      <c r="C32" t="s">
        <v>788</v>
      </c>
      <c r="D32">
        <v>104039</v>
      </c>
      <c r="E32">
        <v>55302</v>
      </c>
      <c r="F32">
        <v>25989</v>
      </c>
      <c r="G32">
        <v>88161</v>
      </c>
      <c r="H32">
        <v>46943</v>
      </c>
      <c r="I32">
        <v>22172</v>
      </c>
      <c r="J32">
        <v>76787</v>
      </c>
      <c r="K32">
        <v>40722</v>
      </c>
      <c r="L32">
        <v>18050</v>
      </c>
      <c r="M32" t="str">
        <f t="shared" si="0"/>
        <v>EGP</v>
      </c>
      <c r="N32">
        <v>39563</v>
      </c>
      <c r="O32">
        <f t="shared" si="1"/>
        <v>31</v>
      </c>
      <c r="P32" s="3">
        <f>HLOOKUP(STclid,$R$7:$Z$104,ROWS($X$10:X32)+3,FALSE)</f>
        <v>16069.08750912511</v>
      </c>
      <c r="Q32" t="str">
        <f t="shared" si="12"/>
        <v>Egypt</v>
      </c>
      <c r="R32" s="3">
        <f t="shared" si="2"/>
        <v>18963.152834292796</v>
      </c>
      <c r="S32" s="3">
        <f t="shared" si="3"/>
        <v>10079.914280778652</v>
      </c>
      <c r="T32" s="3">
        <f t="shared" si="4"/>
        <v>4737.066511749782</v>
      </c>
      <c r="U32" s="3">
        <f t="shared" si="5"/>
        <v>16069.08750912511</v>
      </c>
      <c r="V32" s="3">
        <f t="shared" si="6"/>
        <v>8556.32868731117</v>
      </c>
      <c r="W32" s="3">
        <f t="shared" si="7"/>
        <v>4041.3461851239426</v>
      </c>
      <c r="X32" s="3">
        <f t="shared" si="8"/>
        <v>13995.961233242928</v>
      </c>
      <c r="Y32" s="3">
        <f t="shared" si="9"/>
        <v>7422.433965818023</v>
      </c>
      <c r="Z32" s="3">
        <f t="shared" si="10"/>
        <v>3290.0338491659377</v>
      </c>
      <c r="AA32" s="3">
        <f t="shared" si="13"/>
        <v>39563</v>
      </c>
      <c r="AB32" s="49"/>
      <c r="AC32" s="49"/>
      <c r="AD32" s="49"/>
      <c r="AE32" t="s">
        <v>955</v>
      </c>
      <c r="AI32" t="str">
        <f t="shared" si="14"/>
        <v>EGYPT (EGP)</v>
      </c>
      <c r="AJ32" t="str">
        <f t="shared" si="15"/>
        <v>63200 40000 21000 </v>
      </c>
      <c r="AK32">
        <v>63200</v>
      </c>
      <c r="AL32">
        <v>40000</v>
      </c>
      <c r="AM32">
        <v>21000</v>
      </c>
      <c r="AO32" t="s">
        <v>736</v>
      </c>
      <c r="AS32" t="str">
        <f t="shared" si="16"/>
        <v>EGYPT (EGP)</v>
      </c>
      <c r="AT32" t="str">
        <f t="shared" si="17"/>
        <v>53800 34000 17900 </v>
      </c>
      <c r="AU32">
        <v>53800</v>
      </c>
      <c r="AV32">
        <v>34000</v>
      </c>
      <c r="AW32">
        <v>17900</v>
      </c>
      <c r="AY32" t="s">
        <v>622</v>
      </c>
      <c r="BC32" t="str">
        <f t="shared" si="18"/>
        <v>EGYPT (EGP)</v>
      </c>
      <c r="BD32" t="str">
        <f t="shared" si="19"/>
        <v>46000 29600 15600 </v>
      </c>
      <c r="BE32">
        <v>46000</v>
      </c>
      <c r="BF32">
        <v>29600</v>
      </c>
      <c r="BG32">
        <v>15600</v>
      </c>
      <c r="BJ32" t="str">
        <f t="shared" si="11"/>
        <v>EGYPT                         13996     7422     3290</v>
      </c>
    </row>
    <row r="33" spans="1:62" ht="12.75">
      <c r="A33" t="s">
        <v>790</v>
      </c>
      <c r="B33">
        <v>37</v>
      </c>
      <c r="C33" t="s">
        <v>789</v>
      </c>
      <c r="D33">
        <v>11211</v>
      </c>
      <c r="E33">
        <v>8934</v>
      </c>
      <c r="F33">
        <v>4961</v>
      </c>
      <c r="G33">
        <v>9547</v>
      </c>
      <c r="H33">
        <v>7613</v>
      </c>
      <c r="I33">
        <v>4222</v>
      </c>
      <c r="J33">
        <v>8299</v>
      </c>
      <c r="K33">
        <v>6625</v>
      </c>
      <c r="L33">
        <v>3671</v>
      </c>
      <c r="M33" t="str">
        <f t="shared" si="0"/>
        <v>USD</v>
      </c>
      <c r="N33" t="s">
        <v>493</v>
      </c>
      <c r="O33">
        <f t="shared" si="1"/>
        <v>65</v>
      </c>
      <c r="P33" s="3">
        <f>HLOOKUP(STclid,$R$7:$Z$104,ROWS($X$10:X33)+3,FALSE)</f>
        <v>9547.080119999999</v>
      </c>
      <c r="Q33" t="str">
        <f t="shared" si="12"/>
        <v>El Salvador</v>
      </c>
      <c r="R33" s="3">
        <f t="shared" si="2"/>
        <v>11211.080119999999</v>
      </c>
      <c r="S33" s="3">
        <f t="shared" si="3"/>
        <v>8934.080119999999</v>
      </c>
      <c r="T33" s="3">
        <f t="shared" si="4"/>
        <v>4961.0801200000005</v>
      </c>
      <c r="U33" s="3">
        <f t="shared" si="5"/>
        <v>9547.080119999999</v>
      </c>
      <c r="V33" s="3">
        <f t="shared" si="6"/>
        <v>7613.0801200000005</v>
      </c>
      <c r="W33" s="3">
        <f t="shared" si="7"/>
        <v>4222.0801200000005</v>
      </c>
      <c r="X33" s="3">
        <f t="shared" si="8"/>
        <v>8299.080119999999</v>
      </c>
      <c r="Y33" s="3">
        <f t="shared" si="9"/>
        <v>6625.0801200000005</v>
      </c>
      <c r="Z33" s="3">
        <f t="shared" si="10"/>
        <v>3671.08012</v>
      </c>
      <c r="AA33" s="3" t="str">
        <f t="shared" si="13"/>
        <v>old</v>
      </c>
      <c r="AB33" s="49"/>
      <c r="AC33" s="49"/>
      <c r="AD33" s="49"/>
      <c r="AE33" t="s">
        <v>956</v>
      </c>
      <c r="AI33" t="str">
        <f t="shared" si="14"/>
        <v>EL SALVADOR (USD)</v>
      </c>
      <c r="AJ33" t="str">
        <f t="shared" si="15"/>
        <v>11211 8934 4961 </v>
      </c>
      <c r="AK33">
        <v>11211</v>
      </c>
      <c r="AL33">
        <v>8934</v>
      </c>
      <c r="AM33">
        <v>4961</v>
      </c>
      <c r="AO33" t="s">
        <v>737</v>
      </c>
      <c r="AS33" t="str">
        <f t="shared" si="16"/>
        <v>EL SALVADOR (USD)</v>
      </c>
      <c r="AT33" t="str">
        <f t="shared" si="17"/>
        <v>9547 7613 4222 </v>
      </c>
      <c r="AU33">
        <v>9547</v>
      </c>
      <c r="AV33">
        <v>7613</v>
      </c>
      <c r="AW33">
        <v>4222</v>
      </c>
      <c r="AY33" t="s">
        <v>623</v>
      </c>
      <c r="BC33" t="str">
        <f t="shared" si="18"/>
        <v>EL SALVADOR (USD)</v>
      </c>
      <c r="BD33" t="str">
        <f t="shared" si="19"/>
        <v>8299 6625 3671 </v>
      </c>
      <c r="BE33">
        <v>8299</v>
      </c>
      <c r="BF33">
        <v>6625</v>
      </c>
      <c r="BG33">
        <v>3671</v>
      </c>
      <c r="BJ33" t="str">
        <f t="shared" si="11"/>
        <v>EL SALVADOR                   8299     6625     3671</v>
      </c>
    </row>
    <row r="34" spans="1:62" ht="12.75">
      <c r="A34" t="s">
        <v>791</v>
      </c>
      <c r="B34">
        <v>29</v>
      </c>
      <c r="C34" t="s">
        <v>790</v>
      </c>
      <c r="D34">
        <v>130000</v>
      </c>
      <c r="E34">
        <v>92900</v>
      </c>
      <c r="F34">
        <v>45200</v>
      </c>
      <c r="G34">
        <v>110800</v>
      </c>
      <c r="H34">
        <v>79100</v>
      </c>
      <c r="I34">
        <v>38500</v>
      </c>
      <c r="J34">
        <v>96300</v>
      </c>
      <c r="K34">
        <v>68800</v>
      </c>
      <c r="L34">
        <v>33500</v>
      </c>
      <c r="M34" t="str">
        <f t="shared" si="0"/>
        <v>EEK</v>
      </c>
      <c r="N34" t="s">
        <v>493</v>
      </c>
      <c r="O34">
        <f t="shared" si="1"/>
        <v>53</v>
      </c>
      <c r="P34" s="3">
        <f>HLOOKUP(STclid,$R$7:$Z$104,ROWS($X$10:X34)+3,FALSE)</f>
        <v>10984.734870136019</v>
      </c>
      <c r="Q34" t="str">
        <f t="shared" si="12"/>
        <v>Estonia</v>
      </c>
      <c r="R34" s="3">
        <f t="shared" si="2"/>
        <v>12888.212682722766</v>
      </c>
      <c r="S34" s="3">
        <f t="shared" si="3"/>
        <v>9210.138367776499</v>
      </c>
      <c r="T34" s="3">
        <f t="shared" si="4"/>
        <v>4481.1856771313</v>
      </c>
      <c r="U34" s="3">
        <f t="shared" si="5"/>
        <v>10984.734870136019</v>
      </c>
      <c r="V34" s="3">
        <f t="shared" si="6"/>
        <v>7842.013689979774</v>
      </c>
      <c r="W34" s="3">
        <f t="shared" si="7"/>
        <v>3816.9512321140496</v>
      </c>
      <c r="X34" s="3">
        <f t="shared" si="8"/>
        <v>9547.212563755402</v>
      </c>
      <c r="Y34" s="3">
        <f t="shared" si="9"/>
        <v>6820.877155102509</v>
      </c>
      <c r="Z34" s="3">
        <f t="shared" si="10"/>
        <v>3321.2538850862506</v>
      </c>
      <c r="AA34" s="3" t="str">
        <f t="shared" si="13"/>
        <v>old</v>
      </c>
      <c r="AB34" s="49"/>
      <c r="AC34" s="49"/>
      <c r="AD34" s="49"/>
      <c r="AE34" t="s">
        <v>957</v>
      </c>
      <c r="AI34" t="str">
        <f t="shared" si="14"/>
        <v>ESTONIA (EEK)</v>
      </c>
      <c r="AJ34" t="str">
        <f t="shared" si="15"/>
        <v>130000 92900 45200 </v>
      </c>
      <c r="AK34">
        <v>130000</v>
      </c>
      <c r="AL34">
        <v>92900</v>
      </c>
      <c r="AM34">
        <v>45200</v>
      </c>
      <c r="AO34" t="s">
        <v>738</v>
      </c>
      <c r="AS34" t="str">
        <f t="shared" si="16"/>
        <v>ESTONIA (EEK)</v>
      </c>
      <c r="AT34" t="str">
        <f t="shared" si="17"/>
        <v>110800 79100 38500 </v>
      </c>
      <c r="AU34">
        <v>110800</v>
      </c>
      <c r="AV34">
        <v>79100</v>
      </c>
      <c r="AW34">
        <v>38500</v>
      </c>
      <c r="AY34" t="s">
        <v>624</v>
      </c>
      <c r="BC34" t="str">
        <f t="shared" si="18"/>
        <v>ESTONIA (EEK)</v>
      </c>
      <c r="BD34" t="str">
        <f t="shared" si="19"/>
        <v>96300 68800 33500 </v>
      </c>
      <c r="BE34">
        <v>96300</v>
      </c>
      <c r="BF34">
        <v>68800</v>
      </c>
      <c r="BG34">
        <v>33500</v>
      </c>
      <c r="BJ34" t="str">
        <f t="shared" si="11"/>
        <v>ESTONIA                       9547     6821     3321</v>
      </c>
    </row>
    <row r="35" spans="1:62" ht="12.75">
      <c r="A35" t="s">
        <v>792</v>
      </c>
      <c r="B35">
        <v>73</v>
      </c>
      <c r="C35" t="s">
        <v>791</v>
      </c>
      <c r="D35">
        <v>14293</v>
      </c>
      <c r="E35">
        <v>7749</v>
      </c>
      <c r="F35">
        <v>3569</v>
      </c>
      <c r="G35">
        <v>12127</v>
      </c>
      <c r="H35">
        <v>6559</v>
      </c>
      <c r="I35">
        <v>3049</v>
      </c>
      <c r="J35">
        <v>10539</v>
      </c>
      <c r="K35">
        <v>5669</v>
      </c>
      <c r="L35">
        <v>2519</v>
      </c>
      <c r="M35" t="str">
        <f t="shared" si="0"/>
        <v>EUR</v>
      </c>
      <c r="N35">
        <v>39563</v>
      </c>
      <c r="O35">
        <f t="shared" si="1"/>
        <v>14</v>
      </c>
      <c r="P35" s="3">
        <f>HLOOKUP(STclid,$R$7:$Z$104,ROWS($X$10:X35)+3,FALSE)</f>
        <v>18863.046291242805</v>
      </c>
      <c r="Q35" t="str">
        <f t="shared" si="12"/>
        <v>Finland</v>
      </c>
      <c r="R35" s="3">
        <f t="shared" si="2"/>
        <v>22232.155017327732</v>
      </c>
      <c r="S35" s="3">
        <f t="shared" si="3"/>
        <v>12053.27805356976</v>
      </c>
      <c r="T35" s="3">
        <f t="shared" si="4"/>
        <v>5551.489283932182</v>
      </c>
      <c r="U35" s="3">
        <f t="shared" si="5"/>
        <v>18863.046291242805</v>
      </c>
      <c r="V35" s="3">
        <f t="shared" si="6"/>
        <v>10202.290341639444</v>
      </c>
      <c r="W35" s="3">
        <f t="shared" si="7"/>
        <v>4742.654317374398</v>
      </c>
      <c r="X35" s="3">
        <f t="shared" si="8"/>
        <v>16392.988739524033</v>
      </c>
      <c r="Y35" s="3">
        <f t="shared" si="9"/>
        <v>8817.938187338621</v>
      </c>
      <c r="Z35" s="3">
        <f t="shared" si="10"/>
        <v>3918.264832228962</v>
      </c>
      <c r="AA35" s="3">
        <f t="shared" si="13"/>
        <v>39563</v>
      </c>
      <c r="AB35" s="49"/>
      <c r="AC35" s="49"/>
      <c r="AD35" s="49"/>
      <c r="AE35" t="s">
        <v>958</v>
      </c>
      <c r="AI35" t="str">
        <f t="shared" si="14"/>
        <v>FINLAND (EUR)</v>
      </c>
      <c r="AJ35" t="str">
        <f t="shared" si="15"/>
        <v>8410 5598 2971 </v>
      </c>
      <c r="AK35">
        <v>8410</v>
      </c>
      <c r="AL35">
        <v>5598</v>
      </c>
      <c r="AM35">
        <v>2971</v>
      </c>
      <c r="AO35" t="s">
        <v>739</v>
      </c>
      <c r="AS35" t="str">
        <f t="shared" si="16"/>
        <v>FINLAND (EUR)</v>
      </c>
      <c r="AT35" t="str">
        <f t="shared" si="17"/>
        <v>7164 4768 2531 </v>
      </c>
      <c r="AU35">
        <v>7164</v>
      </c>
      <c r="AV35">
        <v>4768</v>
      </c>
      <c r="AW35">
        <v>2531</v>
      </c>
      <c r="AY35" t="s">
        <v>625</v>
      </c>
      <c r="BC35" t="str">
        <f t="shared" si="18"/>
        <v>FINLAND (EUR)</v>
      </c>
      <c r="BD35" t="str">
        <f t="shared" si="19"/>
        <v>6229 4146 2201 </v>
      </c>
      <c r="BE35">
        <v>6229</v>
      </c>
      <c r="BF35">
        <v>4146</v>
      </c>
      <c r="BG35">
        <v>2201</v>
      </c>
      <c r="BJ35" t="str">
        <f t="shared" si="11"/>
        <v>FINLAND                       16393     8818     3918</v>
      </c>
    </row>
    <row r="36" spans="1:62" ht="12.75">
      <c r="A36" t="s">
        <v>793</v>
      </c>
      <c r="B36">
        <v>42</v>
      </c>
      <c r="C36" t="s">
        <v>792</v>
      </c>
      <c r="D36">
        <v>14293</v>
      </c>
      <c r="E36">
        <v>7749</v>
      </c>
      <c r="F36">
        <v>3569</v>
      </c>
      <c r="G36">
        <v>12127</v>
      </c>
      <c r="H36">
        <v>6559</v>
      </c>
      <c r="I36">
        <v>3049</v>
      </c>
      <c r="J36">
        <v>10539</v>
      </c>
      <c r="K36">
        <v>5669</v>
      </c>
      <c r="L36">
        <v>2519</v>
      </c>
      <c r="M36" t="str">
        <f t="shared" si="0"/>
        <v>EUR</v>
      </c>
      <c r="N36">
        <v>39563</v>
      </c>
      <c r="O36">
        <f t="shared" si="1"/>
        <v>12</v>
      </c>
      <c r="P36" s="3">
        <f>HLOOKUP(STclid,$R$7:$Z$104,ROWS($X$10:X36)+3,FALSE)</f>
        <v>18863.047061242803</v>
      </c>
      <c r="Q36" t="str">
        <f t="shared" si="12"/>
        <v>France</v>
      </c>
      <c r="R36" s="3">
        <f t="shared" si="2"/>
        <v>22232.15578732773</v>
      </c>
      <c r="S36" s="3">
        <f t="shared" si="3"/>
        <v>12053.278823569759</v>
      </c>
      <c r="T36" s="3">
        <f t="shared" si="4"/>
        <v>5551.490053932182</v>
      </c>
      <c r="U36" s="3">
        <f t="shared" si="5"/>
        <v>18863.047061242803</v>
      </c>
      <c r="V36" s="3">
        <f t="shared" si="6"/>
        <v>10202.291111639443</v>
      </c>
      <c r="W36" s="3">
        <f t="shared" si="7"/>
        <v>4742.655087374397</v>
      </c>
      <c r="X36" s="3">
        <f t="shared" si="8"/>
        <v>16392.98950952403</v>
      </c>
      <c r="Y36" s="3">
        <f t="shared" si="9"/>
        <v>8817.93895733862</v>
      </c>
      <c r="Z36" s="3">
        <f t="shared" si="10"/>
        <v>3918.265602228962</v>
      </c>
      <c r="AA36" s="3">
        <f t="shared" si="13"/>
        <v>39563</v>
      </c>
      <c r="AB36" s="49"/>
      <c r="AC36" s="49"/>
      <c r="AD36" s="49"/>
      <c r="AE36" t="s">
        <v>959</v>
      </c>
      <c r="AI36" t="str">
        <f t="shared" si="14"/>
        <v>FRANCE (EUR)</v>
      </c>
      <c r="AJ36" t="str">
        <f t="shared" si="15"/>
        <v>9899 6499 3249 </v>
      </c>
      <c r="AK36">
        <v>9899</v>
      </c>
      <c r="AL36">
        <v>6499</v>
      </c>
      <c r="AM36">
        <v>3249</v>
      </c>
      <c r="AO36" t="s">
        <v>740</v>
      </c>
      <c r="AS36" t="str">
        <f t="shared" si="16"/>
        <v>FRANCE (EUR)</v>
      </c>
      <c r="AT36" t="str">
        <f t="shared" si="17"/>
        <v>8399 5549 2749 </v>
      </c>
      <c r="AU36">
        <v>8399</v>
      </c>
      <c r="AV36">
        <v>5549</v>
      </c>
      <c r="AW36">
        <v>2749</v>
      </c>
      <c r="AY36" t="s">
        <v>626</v>
      </c>
      <c r="BC36" t="str">
        <f t="shared" si="18"/>
        <v>FRANCE (EUR)</v>
      </c>
      <c r="BD36" t="str">
        <f t="shared" si="19"/>
        <v>7299 4799 2399 </v>
      </c>
      <c r="BE36">
        <v>7299</v>
      </c>
      <c r="BF36">
        <v>4799</v>
      </c>
      <c r="BG36">
        <v>2399</v>
      </c>
      <c r="BJ36" t="str">
        <f t="shared" si="11"/>
        <v>FRANCE                        16393     8818     3918</v>
      </c>
    </row>
    <row r="37" spans="1:62" ht="12.75">
      <c r="A37" t="s">
        <v>794</v>
      </c>
      <c r="B37">
        <v>71</v>
      </c>
      <c r="C37" t="s">
        <v>793</v>
      </c>
      <c r="D37">
        <v>9099</v>
      </c>
      <c r="E37">
        <v>6031</v>
      </c>
      <c r="F37">
        <v>3171</v>
      </c>
      <c r="G37">
        <v>7747</v>
      </c>
      <c r="H37">
        <v>5147</v>
      </c>
      <c r="I37">
        <v>2703</v>
      </c>
      <c r="J37">
        <v>6759</v>
      </c>
      <c r="K37">
        <v>4471</v>
      </c>
      <c r="L37">
        <v>2339</v>
      </c>
      <c r="M37" t="str">
        <f t="shared" si="0"/>
        <v>EUR</v>
      </c>
      <c r="N37" t="s">
        <v>493</v>
      </c>
      <c r="O37">
        <f t="shared" si="1"/>
        <v>49</v>
      </c>
      <c r="P37" s="3">
        <f>HLOOKUP(STclid,$R$7:$Z$104,ROWS($X$10:X37)+3,FALSE)</f>
        <v>12050.16795985223</v>
      </c>
      <c r="Q37" t="str">
        <f t="shared" si="12"/>
        <v>French Guiana</v>
      </c>
      <c r="R37" s="3">
        <f t="shared" si="2"/>
        <v>14153.138872902471</v>
      </c>
      <c r="S37" s="3">
        <f t="shared" si="3"/>
        <v>9381.01257021154</v>
      </c>
      <c r="T37" s="3">
        <f t="shared" si="4"/>
        <v>4932.4202541437235</v>
      </c>
      <c r="U37" s="3">
        <f t="shared" si="5"/>
        <v>12050.16795985223</v>
      </c>
      <c r="V37" s="3">
        <f t="shared" si="6"/>
        <v>8005.993127063306</v>
      </c>
      <c r="W37" s="3">
        <f t="shared" si="7"/>
        <v>4204.468784241717</v>
      </c>
      <c r="X37" s="3">
        <f t="shared" si="8"/>
        <v>10513.381523392438</v>
      </c>
      <c r="Y37" s="3">
        <f t="shared" si="9"/>
        <v>6954.507670538185</v>
      </c>
      <c r="Z37" s="3">
        <f t="shared" si="10"/>
        <v>3638.284307651267</v>
      </c>
      <c r="AA37" s="3" t="str">
        <f t="shared" si="13"/>
        <v>old</v>
      </c>
      <c r="AB37" s="49"/>
      <c r="AC37" s="49"/>
      <c r="AD37" s="49"/>
      <c r="AE37" t="s">
        <v>960</v>
      </c>
      <c r="AI37" t="str">
        <f t="shared" si="14"/>
        <v>FRENCH GUIANA (EUR)</v>
      </c>
      <c r="AJ37" t="str">
        <f t="shared" si="15"/>
        <v>9099 6031 3171 </v>
      </c>
      <c r="AK37">
        <v>9099</v>
      </c>
      <c r="AL37">
        <v>6031</v>
      </c>
      <c r="AM37">
        <v>3171</v>
      </c>
      <c r="AO37" t="s">
        <v>741</v>
      </c>
      <c r="AS37" t="str">
        <f t="shared" si="16"/>
        <v>FRENCH GUIANA (EUR)</v>
      </c>
      <c r="AT37" t="str">
        <f t="shared" si="17"/>
        <v>7747 5147 2703 </v>
      </c>
      <c r="AU37">
        <v>7747</v>
      </c>
      <c r="AV37">
        <v>5147</v>
      </c>
      <c r="AW37">
        <v>2703</v>
      </c>
      <c r="AY37" t="s">
        <v>627</v>
      </c>
      <c r="BC37" t="str">
        <f t="shared" si="18"/>
        <v>FRENCH GUIANA (EUR)</v>
      </c>
      <c r="BD37" t="str">
        <f t="shared" si="19"/>
        <v>6759 4471 2339 </v>
      </c>
      <c r="BE37">
        <v>6759</v>
      </c>
      <c r="BF37">
        <v>4471</v>
      </c>
      <c r="BG37">
        <v>2339</v>
      </c>
      <c r="BJ37" t="str">
        <f t="shared" si="11"/>
        <v>FRENCH GUIANA                 10513     6955     3638</v>
      </c>
    </row>
    <row r="38" spans="1:62" ht="12.75">
      <c r="A38" t="s">
        <v>795</v>
      </c>
      <c r="B38">
        <v>91</v>
      </c>
      <c r="C38" t="s">
        <v>794</v>
      </c>
      <c r="D38">
        <v>14293</v>
      </c>
      <c r="E38">
        <v>7749</v>
      </c>
      <c r="F38">
        <v>3569</v>
      </c>
      <c r="G38">
        <v>12127</v>
      </c>
      <c r="H38">
        <v>6559</v>
      </c>
      <c r="I38">
        <v>3049</v>
      </c>
      <c r="J38">
        <v>10539</v>
      </c>
      <c r="K38">
        <v>5669</v>
      </c>
      <c r="L38">
        <v>2519</v>
      </c>
      <c r="M38" t="str">
        <f t="shared" si="0"/>
        <v>EUR</v>
      </c>
      <c r="N38">
        <v>39563</v>
      </c>
      <c r="O38">
        <f t="shared" si="1"/>
        <v>13</v>
      </c>
      <c r="P38" s="3">
        <f>HLOOKUP(STclid,$R$7:$Z$104,ROWS($X$10:X38)+3,FALSE)</f>
        <v>18863.046931242803</v>
      </c>
      <c r="Q38" t="str">
        <f t="shared" si="12"/>
        <v>Germany</v>
      </c>
      <c r="R38" s="3">
        <f t="shared" si="2"/>
        <v>22232.15565732773</v>
      </c>
      <c r="S38" s="3">
        <f t="shared" si="3"/>
        <v>12053.27869356976</v>
      </c>
      <c r="T38" s="3">
        <f t="shared" si="4"/>
        <v>5551.489923932182</v>
      </c>
      <c r="U38" s="3">
        <f t="shared" si="5"/>
        <v>18863.046931242803</v>
      </c>
      <c r="V38" s="3">
        <f t="shared" si="6"/>
        <v>10202.290981639444</v>
      </c>
      <c r="W38" s="3">
        <f t="shared" si="7"/>
        <v>4742.654957374398</v>
      </c>
      <c r="X38" s="3">
        <f t="shared" si="8"/>
        <v>16392.98937952403</v>
      </c>
      <c r="Y38" s="3">
        <f t="shared" si="9"/>
        <v>8817.938827338621</v>
      </c>
      <c r="Z38" s="3">
        <f t="shared" si="10"/>
        <v>3918.2654722289617</v>
      </c>
      <c r="AA38" s="3">
        <f t="shared" si="13"/>
        <v>39563</v>
      </c>
      <c r="AB38" s="49"/>
      <c r="AC38" s="49"/>
      <c r="AD38" s="49"/>
      <c r="AE38" t="s">
        <v>961</v>
      </c>
      <c r="AI38" t="str">
        <f t="shared" si="14"/>
        <v>GERMANY (EUR)</v>
      </c>
      <c r="AJ38" t="str">
        <f t="shared" si="15"/>
        <v>9899 6499 3249 </v>
      </c>
      <c r="AK38">
        <v>9899</v>
      </c>
      <c r="AL38">
        <v>6499</v>
      </c>
      <c r="AM38">
        <v>3249</v>
      </c>
      <c r="AO38" t="s">
        <v>742</v>
      </c>
      <c r="AS38" t="str">
        <f t="shared" si="16"/>
        <v>GERMANY (EUR)</v>
      </c>
      <c r="AT38" t="str">
        <f t="shared" si="17"/>
        <v>8399 5549 2749 </v>
      </c>
      <c r="AU38">
        <v>8399</v>
      </c>
      <c r="AV38">
        <v>5549</v>
      </c>
      <c r="AW38">
        <v>2749</v>
      </c>
      <c r="AY38" t="s">
        <v>628</v>
      </c>
      <c r="BC38" t="str">
        <f t="shared" si="18"/>
        <v>GERMANY (EUR)</v>
      </c>
      <c r="BD38" t="str">
        <f t="shared" si="19"/>
        <v>7299 4799 2399 </v>
      </c>
      <c r="BE38">
        <v>7299</v>
      </c>
      <c r="BF38">
        <v>4799</v>
      </c>
      <c r="BG38">
        <v>2399</v>
      </c>
      <c r="BJ38" t="str">
        <f t="shared" si="11"/>
        <v>GERMANY                       16393     8818     3918</v>
      </c>
    </row>
    <row r="39" spans="1:62" ht="12.75">
      <c r="A39" t="s">
        <v>796</v>
      </c>
      <c r="B39">
        <v>48</v>
      </c>
      <c r="C39" t="s">
        <v>795</v>
      </c>
      <c r="D39">
        <v>10971</v>
      </c>
      <c r="E39">
        <v>5553</v>
      </c>
      <c r="F39">
        <v>2057</v>
      </c>
      <c r="G39">
        <v>9310</v>
      </c>
      <c r="H39">
        <v>4718</v>
      </c>
      <c r="I39">
        <v>1826</v>
      </c>
      <c r="J39">
        <v>8084</v>
      </c>
      <c r="K39">
        <v>4140</v>
      </c>
      <c r="L39">
        <v>1480</v>
      </c>
      <c r="M39" t="str">
        <f t="shared" si="0"/>
        <v>GBP</v>
      </c>
      <c r="N39">
        <v>39563</v>
      </c>
      <c r="O39">
        <f t="shared" si="1"/>
        <v>20</v>
      </c>
      <c r="P39" s="3">
        <f>HLOOKUP(STclid,$R$7:$Z$104,ROWS($X$10:X39)+3,FALSE)</f>
        <v>18461.316802821733</v>
      </c>
      <c r="Q39" t="str">
        <f t="shared" si="12"/>
        <v>Great Britain</v>
      </c>
      <c r="R39" s="3">
        <f t="shared" si="2"/>
        <v>21754.991202980367</v>
      </c>
      <c r="S39" s="3">
        <f t="shared" si="3"/>
        <v>11011.386205954788</v>
      </c>
      <c r="T39" s="3">
        <f t="shared" si="4"/>
        <v>4079.004687017648</v>
      </c>
      <c r="U39" s="3">
        <f t="shared" si="5"/>
        <v>18461.316802821733</v>
      </c>
      <c r="V39" s="3">
        <f t="shared" si="6"/>
        <v>9355.625745911164</v>
      </c>
      <c r="W39" s="3">
        <f t="shared" si="7"/>
        <v>3620.944008849891</v>
      </c>
      <c r="X39" s="3">
        <f t="shared" si="8"/>
        <v>16030.22419921277</v>
      </c>
      <c r="Y39" s="3">
        <f t="shared" si="9"/>
        <v>8209.482577162404</v>
      </c>
      <c r="Z39" s="3">
        <f t="shared" si="10"/>
        <v>2934.844464927622</v>
      </c>
      <c r="AA39" s="3">
        <f t="shared" si="13"/>
        <v>39563</v>
      </c>
      <c r="AB39" s="49"/>
      <c r="AC39" s="49"/>
      <c r="AD39" s="49"/>
      <c r="AE39" t="s">
        <v>962</v>
      </c>
      <c r="AI39" t="str">
        <f t="shared" si="14"/>
        <v>GREAT BRITAIN (GBP)</v>
      </c>
      <c r="AJ39" t="str">
        <f t="shared" si="15"/>
        <v>7599 4699 1799 </v>
      </c>
      <c r="AK39">
        <v>7599</v>
      </c>
      <c r="AL39">
        <v>4699</v>
      </c>
      <c r="AM39">
        <v>1799</v>
      </c>
      <c r="AO39" t="s">
        <v>743</v>
      </c>
      <c r="AS39" t="str">
        <f t="shared" si="16"/>
        <v>GREAT BRITAIN (GBP)</v>
      </c>
      <c r="AT39" t="str">
        <f t="shared" si="17"/>
        <v>6449 3999 1599 </v>
      </c>
      <c r="AU39">
        <v>6449</v>
      </c>
      <c r="AV39">
        <v>3999</v>
      </c>
      <c r="AW39">
        <v>1599</v>
      </c>
      <c r="AY39" t="s">
        <v>629</v>
      </c>
      <c r="BC39" t="str">
        <f t="shared" si="18"/>
        <v>GREAT BRITAIN (GBP)</v>
      </c>
      <c r="BD39" t="str">
        <f t="shared" si="19"/>
        <v>5599 3499 1299 </v>
      </c>
      <c r="BE39">
        <v>5599</v>
      </c>
      <c r="BF39">
        <v>3499</v>
      </c>
      <c r="BG39">
        <v>1299</v>
      </c>
      <c r="BJ39" t="str">
        <f t="shared" si="11"/>
        <v>GREAT BRITAIN                 16030     8209     2935</v>
      </c>
    </row>
    <row r="40" spans="1:62" ht="12.75">
      <c r="A40" t="s">
        <v>797</v>
      </c>
      <c r="B40">
        <v>46</v>
      </c>
      <c r="C40" t="s">
        <v>796</v>
      </c>
      <c r="D40">
        <v>14293</v>
      </c>
      <c r="E40">
        <v>7749</v>
      </c>
      <c r="F40">
        <v>3569</v>
      </c>
      <c r="G40">
        <v>12127</v>
      </c>
      <c r="H40">
        <v>6559</v>
      </c>
      <c r="I40">
        <v>3049</v>
      </c>
      <c r="J40">
        <v>10539</v>
      </c>
      <c r="K40">
        <v>5669</v>
      </c>
      <c r="L40">
        <v>2519</v>
      </c>
      <c r="M40" t="str">
        <f t="shared" si="0"/>
        <v>EUR</v>
      </c>
      <c r="N40">
        <v>39563</v>
      </c>
      <c r="O40">
        <f t="shared" si="1"/>
        <v>11</v>
      </c>
      <c r="P40" s="3">
        <f>HLOOKUP(STclid,$R$7:$Z$104,ROWS($X$10:X40)+3,FALSE)</f>
        <v>18863.048101242803</v>
      </c>
      <c r="Q40" t="str">
        <f t="shared" si="12"/>
        <v>Greece</v>
      </c>
      <c r="R40" s="3">
        <f t="shared" si="2"/>
        <v>22232.15682732773</v>
      </c>
      <c r="S40" s="3">
        <f t="shared" si="3"/>
        <v>12053.27986356976</v>
      </c>
      <c r="T40" s="3">
        <f t="shared" si="4"/>
        <v>5551.491093932182</v>
      </c>
      <c r="U40" s="3">
        <f t="shared" si="5"/>
        <v>18863.048101242803</v>
      </c>
      <c r="V40" s="3">
        <f t="shared" si="6"/>
        <v>10202.292151639444</v>
      </c>
      <c r="W40" s="3">
        <f t="shared" si="7"/>
        <v>4742.656127374397</v>
      </c>
      <c r="X40" s="3">
        <f t="shared" si="8"/>
        <v>16392.99054952403</v>
      </c>
      <c r="Y40" s="3">
        <f t="shared" si="9"/>
        <v>8817.93999733862</v>
      </c>
      <c r="Z40" s="3">
        <f t="shared" si="10"/>
        <v>3918.2666422289617</v>
      </c>
      <c r="AA40" s="3">
        <f t="shared" si="13"/>
        <v>39563</v>
      </c>
      <c r="AB40" s="49"/>
      <c r="AC40" s="49"/>
      <c r="AD40" s="49"/>
      <c r="AE40" t="s">
        <v>963</v>
      </c>
      <c r="AI40" t="str">
        <f t="shared" si="14"/>
        <v>GREECE (EUR)</v>
      </c>
      <c r="AJ40" t="str">
        <f t="shared" si="15"/>
        <v>9899 6499 3249 </v>
      </c>
      <c r="AK40">
        <v>9899</v>
      </c>
      <c r="AL40">
        <v>6499</v>
      </c>
      <c r="AM40">
        <v>3249</v>
      </c>
      <c r="AO40" t="s">
        <v>744</v>
      </c>
      <c r="AS40" t="str">
        <f t="shared" si="16"/>
        <v>GREECE (EUR)</v>
      </c>
      <c r="AT40" t="str">
        <f t="shared" si="17"/>
        <v>8399 5549 2749 </v>
      </c>
      <c r="AU40">
        <v>8399</v>
      </c>
      <c r="AV40">
        <v>5549</v>
      </c>
      <c r="AW40">
        <v>2749</v>
      </c>
      <c r="AY40" t="s">
        <v>630</v>
      </c>
      <c r="BC40" t="str">
        <f t="shared" si="18"/>
        <v>GREECE (EUR)</v>
      </c>
      <c r="BD40" t="str">
        <f t="shared" si="19"/>
        <v>7299 4799 2399 </v>
      </c>
      <c r="BE40">
        <v>7299</v>
      </c>
      <c r="BF40">
        <v>4799</v>
      </c>
      <c r="BG40">
        <v>2399</v>
      </c>
      <c r="BJ40" t="str">
        <f t="shared" si="11"/>
        <v>GREECE                        16393     8818     3918</v>
      </c>
    </row>
    <row r="41" spans="1:62" ht="12.75">
      <c r="A41" t="s">
        <v>798</v>
      </c>
      <c r="B41">
        <v>82</v>
      </c>
      <c r="C41" t="s">
        <v>797</v>
      </c>
      <c r="D41">
        <v>8749</v>
      </c>
      <c r="E41">
        <v>5799</v>
      </c>
      <c r="F41">
        <v>3049</v>
      </c>
      <c r="G41">
        <v>7449</v>
      </c>
      <c r="H41">
        <v>4949</v>
      </c>
      <c r="I41">
        <v>2599</v>
      </c>
      <c r="J41">
        <v>6499</v>
      </c>
      <c r="K41">
        <v>4299</v>
      </c>
      <c r="L41">
        <v>2249</v>
      </c>
      <c r="M41" t="str">
        <f t="shared" si="0"/>
        <v>EUR</v>
      </c>
      <c r="N41" t="s">
        <v>493</v>
      </c>
      <c r="O41">
        <f t="shared" si="1"/>
        <v>52</v>
      </c>
      <c r="P41" s="3">
        <f>HLOOKUP(STclid,$R$7:$Z$104,ROWS($X$10:X41)+3,FALSE)</f>
        <v>11586.644565940267</v>
      </c>
      <c r="Q41" t="str">
        <f t="shared" si="12"/>
        <v>Guadeloupe</v>
      </c>
      <c r="R41" s="3">
        <f t="shared" si="2"/>
        <v>13608.73198233473</v>
      </c>
      <c r="S41" s="3">
        <f t="shared" si="3"/>
        <v>9020.148998978066</v>
      </c>
      <c r="T41" s="3">
        <f t="shared" si="4"/>
        <v>4742.656387374397</v>
      </c>
      <c r="U41" s="3">
        <f t="shared" si="5"/>
        <v>11586.644565940267</v>
      </c>
      <c r="V41" s="3">
        <f t="shared" si="6"/>
        <v>7698.014919027842</v>
      </c>
      <c r="W41" s="3">
        <f t="shared" si="7"/>
        <v>4042.70305093016</v>
      </c>
      <c r="X41" s="3">
        <f t="shared" si="8"/>
        <v>10108.965300113545</v>
      </c>
      <c r="Y41" s="3">
        <f t="shared" si="9"/>
        <v>6686.97121083061</v>
      </c>
      <c r="Z41" s="3">
        <f t="shared" si="10"/>
        <v>3498.29490036242</v>
      </c>
      <c r="AA41" s="3" t="str">
        <f t="shared" si="13"/>
        <v>old</v>
      </c>
      <c r="AB41" s="49"/>
      <c r="AC41" s="49"/>
      <c r="AD41" s="49"/>
      <c r="AE41" t="s">
        <v>964</v>
      </c>
      <c r="AI41" t="str">
        <f t="shared" si="14"/>
        <v>GUADELOUPE (EUR)</v>
      </c>
      <c r="AJ41" t="str">
        <f t="shared" si="15"/>
        <v>8749 5799 3049 </v>
      </c>
      <c r="AK41">
        <v>8749</v>
      </c>
      <c r="AL41">
        <v>5799</v>
      </c>
      <c r="AM41">
        <v>3049</v>
      </c>
      <c r="AO41" t="s">
        <v>745</v>
      </c>
      <c r="AS41" t="str">
        <f t="shared" si="16"/>
        <v>GUADELOUPE (EUR)</v>
      </c>
      <c r="AT41" t="str">
        <f t="shared" si="17"/>
        <v>7449 4949 2599 </v>
      </c>
      <c r="AU41">
        <v>7449</v>
      </c>
      <c r="AV41">
        <v>4949</v>
      </c>
      <c r="AW41">
        <v>2599</v>
      </c>
      <c r="AY41" t="s">
        <v>631</v>
      </c>
      <c r="BC41" t="str">
        <f t="shared" si="18"/>
        <v>GUADELOUPE (EUR)</v>
      </c>
      <c r="BD41" t="str">
        <f t="shared" si="19"/>
        <v>6499 4299 2249 </v>
      </c>
      <c r="BE41">
        <v>6499</v>
      </c>
      <c r="BF41">
        <v>4299</v>
      </c>
      <c r="BG41">
        <v>2249</v>
      </c>
      <c r="BJ41" t="str">
        <f t="shared" si="11"/>
        <v>GUADELOUPE                    10109     6687     3498</v>
      </c>
    </row>
    <row r="42" spans="1:62" ht="12.75">
      <c r="A42" t="s">
        <v>799</v>
      </c>
      <c r="B42">
        <v>62</v>
      </c>
      <c r="C42" t="s">
        <v>798</v>
      </c>
      <c r="D42">
        <v>11211</v>
      </c>
      <c r="E42">
        <v>8934</v>
      </c>
      <c r="F42">
        <v>4961</v>
      </c>
      <c r="G42">
        <v>9547</v>
      </c>
      <c r="H42">
        <v>7613</v>
      </c>
      <c r="I42">
        <v>4222</v>
      </c>
      <c r="J42">
        <v>8299</v>
      </c>
      <c r="K42">
        <v>6625</v>
      </c>
      <c r="L42">
        <v>3671</v>
      </c>
      <c r="M42" t="str">
        <f aca="true" t="shared" si="20" ref="M42:M73">UPPER(MID(RIGHT(C42,5),2,3))</f>
        <v>USD</v>
      </c>
      <c r="N42" t="s">
        <v>493</v>
      </c>
      <c r="O42">
        <f aca="true" t="shared" si="21" ref="O42:O73">RANK(P42,$P$10:$P$103)</f>
        <v>64</v>
      </c>
      <c r="P42" s="3">
        <f>HLOOKUP(STclid,$R$7:$Z$104,ROWS($X$10:X42)+3,FALSE)</f>
        <v>9547.083669999998</v>
      </c>
      <c r="Q42" t="str">
        <f t="shared" si="12"/>
        <v>Guatemala</v>
      </c>
      <c r="R42" s="3">
        <f aca="true" t="shared" si="22" ref="R42:R73">$P$6/VLOOKUP($M42,fx,3,FALSE)*D42+CODE(LEFT($Q42))/1000+CODE(MID($Q42,2,1))/10000+CODE(MID($Q42,3,1))/100000</f>
        <v>11211.083669999998</v>
      </c>
      <c r="S42" s="3">
        <f aca="true" t="shared" si="23" ref="S42:S73">$P$6/VLOOKUP($M42,fx,3,FALSE)*E42+CODE(LEFT($Q42))/1000+CODE(MID($Q42,2,1))/10000+CODE(MID($Q42,3,1))/100000</f>
        <v>8934.083669999998</v>
      </c>
      <c r="T42" s="3">
        <f aca="true" t="shared" si="24" ref="T42:T73">$P$6/VLOOKUP($M42,fx,3,FALSE)*F42+CODE(LEFT($Q42))/1000+CODE(MID($Q42,2,1))/10000+CODE(MID($Q42,3,1))/100000</f>
        <v>4961.08367</v>
      </c>
      <c r="U42" s="3">
        <f aca="true" t="shared" si="25" ref="U42:U73">$P$6/VLOOKUP($M42,fx,3,FALSE)*G42+CODE(LEFT($Q42))/1000+CODE(MID($Q42,2,1))/10000+CODE(MID($Q42,3,1))/100000</f>
        <v>9547.083669999998</v>
      </c>
      <c r="V42" s="3">
        <f aca="true" t="shared" si="26" ref="V42:V73">$P$6/VLOOKUP($M42,fx,3,FALSE)*H42+CODE(LEFT($Q42))/1000+CODE(MID($Q42,2,1))/10000+CODE(MID($Q42,3,1))/100000</f>
        <v>7613.08367</v>
      </c>
      <c r="W42" s="3">
        <f aca="true" t="shared" si="27" ref="W42:W73">$P$6/VLOOKUP($M42,fx,3,FALSE)*I42+CODE(LEFT($Q42))/1000+CODE(MID($Q42,2,1))/10000+CODE(MID($Q42,3,1))/100000</f>
        <v>4222.08367</v>
      </c>
      <c r="X42" s="3">
        <f aca="true" t="shared" si="28" ref="X42:X73">$P$6/VLOOKUP($M42,fx,3,FALSE)*J42+CODE(LEFT($Q42))/1000+CODE(MID($Q42,2,1))/10000+CODE(MID($Q42,3,1))/100000</f>
        <v>8299.083669999998</v>
      </c>
      <c r="Y42" s="3">
        <f aca="true" t="shared" si="29" ref="Y42:Y73">$P$6/VLOOKUP($M42,fx,3,FALSE)*K42+CODE(LEFT($Q42))/1000+CODE(MID($Q42,2,1))/10000+CODE(MID($Q42,3,1))/100000</f>
        <v>6625.08367</v>
      </c>
      <c r="Z42" s="3">
        <f aca="true" t="shared" si="30" ref="Z42:Z73">$P$6/VLOOKUP($M42,fx,3,FALSE)*L42+CODE(LEFT($Q42))/1000+CODE(MID($Q42,2,1))/10000+CODE(MID($Q42,3,1))/100000</f>
        <v>3671.08367</v>
      </c>
      <c r="AA42" s="3" t="str">
        <f t="shared" si="13"/>
        <v>old</v>
      </c>
      <c r="AB42" s="49"/>
      <c r="AC42" s="49"/>
      <c r="AD42" s="49"/>
      <c r="AE42" t="s">
        <v>965</v>
      </c>
      <c r="AI42" t="str">
        <f t="shared" si="14"/>
        <v>GUATEMALA (USD)</v>
      </c>
      <c r="AJ42" t="str">
        <f t="shared" si="15"/>
        <v>11211 8934 4961 </v>
      </c>
      <c r="AK42">
        <v>11211</v>
      </c>
      <c r="AL42">
        <v>8934</v>
      </c>
      <c r="AM42">
        <v>4961</v>
      </c>
      <c r="AO42" t="s">
        <v>746</v>
      </c>
      <c r="AS42" t="str">
        <f t="shared" si="16"/>
        <v>GUATEMALA (USD)</v>
      </c>
      <c r="AT42" t="str">
        <f t="shared" si="17"/>
        <v>9547 7613 4222 </v>
      </c>
      <c r="AU42">
        <v>9547</v>
      </c>
      <c r="AV42">
        <v>7613</v>
      </c>
      <c r="AW42">
        <v>4222</v>
      </c>
      <c r="AY42" t="s">
        <v>632</v>
      </c>
      <c r="BC42" t="str">
        <f t="shared" si="18"/>
        <v>GUATEMALA (USD)</v>
      </c>
      <c r="BD42" t="str">
        <f t="shared" si="19"/>
        <v>8299 6625 3671 </v>
      </c>
      <c r="BE42">
        <v>8299</v>
      </c>
      <c r="BF42">
        <v>6625</v>
      </c>
      <c r="BG42">
        <v>3671</v>
      </c>
      <c r="BJ42" t="str">
        <f aca="true" t="shared" si="31" ref="BJ42:BJ73">LEFT(C42,LEN(C42)-6)&amp;REPT(" ",30-LEN(C42)+6)&amp;ROUND(X42,0)&amp;"     "&amp;ROUND(Y42,0)&amp;"     "&amp;ROUND(Z42,0)</f>
        <v>GUATEMALA                     8299     6625     3671</v>
      </c>
    </row>
    <row r="43" spans="1:62" ht="12.75">
      <c r="A43" t="s">
        <v>800</v>
      </c>
      <c r="B43">
        <v>75</v>
      </c>
      <c r="C43" t="s">
        <v>799</v>
      </c>
      <c r="D43">
        <v>107990</v>
      </c>
      <c r="E43">
        <v>67090</v>
      </c>
      <c r="F43">
        <v>32850</v>
      </c>
      <c r="G43">
        <v>92000</v>
      </c>
      <c r="H43">
        <v>57150</v>
      </c>
      <c r="I43">
        <v>27990</v>
      </c>
      <c r="J43">
        <v>79990</v>
      </c>
      <c r="K43">
        <v>49680</v>
      </c>
      <c r="L43">
        <v>23180</v>
      </c>
      <c r="M43" t="str">
        <f t="shared" si="20"/>
        <v>HKD</v>
      </c>
      <c r="N43">
        <v>39563</v>
      </c>
      <c r="O43">
        <f t="shared" si="21"/>
        <v>50</v>
      </c>
      <c r="P43" s="3">
        <f>HLOOKUP(STclid,$R$7:$Z$104,ROWS($X$10:X43)+3,FALSE)</f>
        <v>11804.944723006645</v>
      </c>
      <c r="Q43" t="str">
        <f t="shared" si="12"/>
        <v>Hong Kong</v>
      </c>
      <c r="R43" s="3">
        <f t="shared" si="22"/>
        <v>13856.680807385736</v>
      </c>
      <c r="S43" s="3">
        <f t="shared" si="23"/>
        <v>8608.65042270126</v>
      </c>
      <c r="T43" s="3">
        <f t="shared" si="24"/>
        <v>4215.189288921395</v>
      </c>
      <c r="U43" s="3">
        <f t="shared" si="25"/>
        <v>11804.944723006645</v>
      </c>
      <c r="V43" s="3">
        <f t="shared" si="26"/>
        <v>7333.212231411194</v>
      </c>
      <c r="W43" s="3">
        <f t="shared" si="27"/>
        <v>3591.5847004234356</v>
      </c>
      <c r="X43" s="3">
        <f t="shared" si="28"/>
        <v>10263.89716994893</v>
      </c>
      <c r="Y43" s="3">
        <f t="shared" si="29"/>
        <v>6374.70888242359</v>
      </c>
      <c r="Z43" s="3">
        <f t="shared" si="30"/>
        <v>2974.395796992327</v>
      </c>
      <c r="AA43" s="3">
        <f t="shared" si="13"/>
        <v>39563</v>
      </c>
      <c r="AB43" s="49"/>
      <c r="AC43" s="49"/>
      <c r="AD43" s="49"/>
      <c r="AE43" t="s">
        <v>966</v>
      </c>
      <c r="AI43" t="str">
        <f t="shared" si="14"/>
        <v>HONG KONG (HKD)</v>
      </c>
      <c r="AJ43" t="str">
        <f t="shared" si="15"/>
        <v>74790 54270 30370 </v>
      </c>
      <c r="AK43">
        <v>74790</v>
      </c>
      <c r="AL43">
        <v>54270</v>
      </c>
      <c r="AM43">
        <v>30370</v>
      </c>
      <c r="AO43" t="s">
        <v>747</v>
      </c>
      <c r="AS43" t="str">
        <f t="shared" si="16"/>
        <v>HONG KONG (HKD)</v>
      </c>
      <c r="AT43" t="str">
        <f t="shared" si="17"/>
        <v>63710 46230 25870 </v>
      </c>
      <c r="AU43">
        <v>63710</v>
      </c>
      <c r="AV43">
        <v>46230</v>
      </c>
      <c r="AW43">
        <v>25870</v>
      </c>
      <c r="AY43" t="s">
        <v>633</v>
      </c>
      <c r="BC43" t="str">
        <f t="shared" si="18"/>
        <v>HONG KONG (HKD)</v>
      </c>
      <c r="BD43" t="str">
        <f t="shared" si="19"/>
        <v>55400 40200 22500 </v>
      </c>
      <c r="BE43">
        <v>55400</v>
      </c>
      <c r="BF43">
        <v>40200</v>
      </c>
      <c r="BG43">
        <v>22500</v>
      </c>
      <c r="BJ43" t="str">
        <f t="shared" si="31"/>
        <v>HONG KONG                     10264     6375     2974</v>
      </c>
    </row>
    <row r="44" spans="1:62" ht="12.75">
      <c r="A44" t="s">
        <v>801</v>
      </c>
      <c r="B44">
        <v>20</v>
      </c>
      <c r="C44" t="s">
        <v>800</v>
      </c>
      <c r="D44">
        <v>3577170.4622322437</v>
      </c>
      <c r="E44">
        <v>1934286.3585118377</v>
      </c>
      <c r="F44">
        <v>890829.5377677565</v>
      </c>
      <c r="G44">
        <v>3047256.595264938</v>
      </c>
      <c r="H44">
        <v>1637091.3190529877</v>
      </c>
      <c r="I44">
        <v>761121.5332581736</v>
      </c>
      <c r="J44">
        <v>2649569.3348365277</v>
      </c>
      <c r="K44">
        <v>1415202.480270575</v>
      </c>
      <c r="L44">
        <v>628894.9267192784</v>
      </c>
      <c r="M44" t="str">
        <f t="shared" si="20"/>
        <v>HUF</v>
      </c>
      <c r="N44">
        <v>39563</v>
      </c>
      <c r="O44">
        <f t="shared" si="21"/>
        <v>17</v>
      </c>
      <c r="P44" s="3">
        <f>HLOOKUP(STclid,$R$7:$Z$104,ROWS($X$10:X44)+3,FALSE)</f>
        <v>18695.598716248074</v>
      </c>
      <c r="Q44" t="str">
        <f t="shared" si="12"/>
        <v>Hungary</v>
      </c>
      <c r="R44" s="3">
        <f t="shared" si="22"/>
        <v>21946.723708378493</v>
      </c>
      <c r="S44" s="3">
        <f t="shared" si="23"/>
        <v>11867.309105875293</v>
      </c>
      <c r="T44" s="3">
        <f t="shared" si="24"/>
        <v>5465.497868994912</v>
      </c>
      <c r="U44" s="3">
        <f t="shared" si="25"/>
        <v>18695.598716248074</v>
      </c>
      <c r="V44" s="3">
        <f t="shared" si="26"/>
        <v>10043.959538045496</v>
      </c>
      <c r="W44" s="3">
        <f t="shared" si="27"/>
        <v>4669.7139474420765</v>
      </c>
      <c r="X44" s="3">
        <f t="shared" si="28"/>
        <v>16255.709760652095</v>
      </c>
      <c r="Y44" s="3">
        <f t="shared" si="29"/>
        <v>8682.62820816579</v>
      </c>
      <c r="Z44" s="3">
        <f t="shared" si="30"/>
        <v>3858.4779109076317</v>
      </c>
      <c r="AA44" s="3">
        <f t="shared" si="13"/>
        <v>39563</v>
      </c>
      <c r="AB44" s="49"/>
      <c r="AC44" s="49"/>
      <c r="AD44" s="49"/>
      <c r="AE44" t="s">
        <v>967</v>
      </c>
      <c r="AI44" t="str">
        <f t="shared" si="14"/>
        <v>HUNGARY (HUF)</v>
      </c>
      <c r="AJ44" t="str">
        <f t="shared" si="15"/>
        <v>2475400 1627600 813500 </v>
      </c>
      <c r="AK44">
        <v>2475400</v>
      </c>
      <c r="AL44">
        <v>1627600</v>
      </c>
      <c r="AM44">
        <v>813500</v>
      </c>
      <c r="AO44" t="s">
        <v>748</v>
      </c>
      <c r="AS44" t="str">
        <f t="shared" si="16"/>
        <v>HUNGARY (HUF)</v>
      </c>
      <c r="AT44" t="str">
        <f t="shared" si="17"/>
        <v>2108700 1386500 693000 </v>
      </c>
      <c r="AU44">
        <v>2108700</v>
      </c>
      <c r="AV44">
        <v>1386500</v>
      </c>
      <c r="AW44">
        <v>693000</v>
      </c>
      <c r="AY44" t="s">
        <v>634</v>
      </c>
      <c r="BC44" t="str">
        <f t="shared" si="18"/>
        <v>HUNGARY (HUF)</v>
      </c>
      <c r="BD44" t="str">
        <f t="shared" si="19"/>
        <v>1833600 1205600 602600 </v>
      </c>
      <c r="BE44">
        <v>1833600</v>
      </c>
      <c r="BF44">
        <v>1205600</v>
      </c>
      <c r="BG44">
        <v>602600</v>
      </c>
      <c r="BJ44" t="str">
        <f t="shared" si="31"/>
        <v>HUNGARY                       16256     8683     3858</v>
      </c>
    </row>
    <row r="45" spans="1:62" ht="12.75">
      <c r="A45" t="s">
        <v>802</v>
      </c>
      <c r="B45">
        <v>26</v>
      </c>
      <c r="C45" t="s">
        <v>801</v>
      </c>
      <c r="D45">
        <v>614175</v>
      </c>
      <c r="E45">
        <v>354090</v>
      </c>
      <c r="F45">
        <v>178250</v>
      </c>
      <c r="G45">
        <v>523215</v>
      </c>
      <c r="H45">
        <v>301880</v>
      </c>
      <c r="I45">
        <v>151800</v>
      </c>
      <c r="J45">
        <v>454930</v>
      </c>
      <c r="K45">
        <v>262200</v>
      </c>
      <c r="L45">
        <v>132080</v>
      </c>
      <c r="M45" t="str">
        <f t="shared" si="20"/>
        <v>INR</v>
      </c>
      <c r="N45">
        <v>39563</v>
      </c>
      <c r="O45">
        <f t="shared" si="21"/>
        <v>44</v>
      </c>
      <c r="P45" s="3">
        <f>HLOOKUP(STclid,$R$7:$Z$104,ROWS($X$10:X45)+3,FALSE)</f>
        <v>12915.784827203162</v>
      </c>
      <c r="Q45" t="str">
        <f t="shared" si="12"/>
        <v>India</v>
      </c>
      <c r="R45" s="3">
        <f t="shared" si="22"/>
        <v>15161.156340409778</v>
      </c>
      <c r="S45" s="3">
        <f t="shared" si="23"/>
        <v>8740.889739570479</v>
      </c>
      <c r="T45" s="3">
        <f t="shared" si="24"/>
        <v>4400.2331115773895</v>
      </c>
      <c r="U45" s="3">
        <f t="shared" si="25"/>
        <v>12915.784827203162</v>
      </c>
      <c r="V45" s="3">
        <f t="shared" si="26"/>
        <v>7452.072163663294</v>
      </c>
      <c r="W45" s="3">
        <f t="shared" si="27"/>
        <v>3747.3079079239697</v>
      </c>
      <c r="X45" s="3">
        <f t="shared" si="28"/>
        <v>11230.151650209827</v>
      </c>
      <c r="Y45" s="3">
        <f t="shared" si="29"/>
        <v>6472.560931868676</v>
      </c>
      <c r="Z45" s="3">
        <f t="shared" si="30"/>
        <v>3260.514523574426</v>
      </c>
      <c r="AA45" s="3">
        <f t="shared" si="13"/>
        <v>39563</v>
      </c>
      <c r="AB45" s="49"/>
      <c r="AC45" s="49"/>
      <c r="AD45" s="49"/>
      <c r="AE45" t="s">
        <v>968</v>
      </c>
      <c r="AI45" t="str">
        <f t="shared" si="14"/>
        <v>INDIA (INR)</v>
      </c>
      <c r="AJ45" t="str">
        <f t="shared" si="15"/>
        <v>425400 260900 150500 </v>
      </c>
      <c r="AK45">
        <v>425400</v>
      </c>
      <c r="AL45">
        <v>260900</v>
      </c>
      <c r="AM45">
        <v>150500</v>
      </c>
      <c r="AO45" t="s">
        <v>749</v>
      </c>
      <c r="AS45" t="str">
        <f t="shared" si="16"/>
        <v>INDIA (INR)</v>
      </c>
      <c r="AT45" t="str">
        <f t="shared" si="17"/>
        <v>362400 222200 128200 </v>
      </c>
      <c r="AU45">
        <v>362400</v>
      </c>
      <c r="AV45">
        <v>222200</v>
      </c>
      <c r="AW45">
        <v>128200</v>
      </c>
      <c r="AY45" t="s">
        <v>635</v>
      </c>
      <c r="BC45" t="str">
        <f t="shared" si="18"/>
        <v>INDIA (INR)</v>
      </c>
      <c r="BD45" t="str">
        <f t="shared" si="19"/>
        <v>315100 193200 111500 </v>
      </c>
      <c r="BE45">
        <v>315100</v>
      </c>
      <c r="BF45">
        <v>193200</v>
      </c>
      <c r="BG45">
        <v>111500</v>
      </c>
      <c r="BJ45" t="str">
        <f t="shared" si="31"/>
        <v>INDIA                         11230     6473     3261</v>
      </c>
    </row>
    <row r="46" spans="1:62" ht="12.75">
      <c r="A46" t="s">
        <v>803</v>
      </c>
      <c r="B46">
        <v>50</v>
      </c>
      <c r="C46" t="s">
        <v>802</v>
      </c>
      <c r="D46">
        <v>12335.209040000002</v>
      </c>
      <c r="E46">
        <v>7623.1201200000005</v>
      </c>
      <c r="F46">
        <v>3860.5767200000005</v>
      </c>
      <c r="G46">
        <v>10505.422620000001</v>
      </c>
      <c r="H46">
        <v>6494.3571</v>
      </c>
      <c r="I46">
        <v>3286.2937800000004</v>
      </c>
      <c r="J46">
        <v>9133.085500000001</v>
      </c>
      <c r="K46">
        <v>5623.031260000001</v>
      </c>
      <c r="L46">
        <v>2860.5269000000003</v>
      </c>
      <c r="M46" t="str">
        <f t="shared" si="20"/>
        <v>USD</v>
      </c>
      <c r="N46">
        <v>39563</v>
      </c>
      <c r="O46">
        <f t="shared" si="21"/>
        <v>58</v>
      </c>
      <c r="P46" s="3">
        <f>HLOOKUP(STclid,$R$7:$Z$104,ROWS($X$10:X46)+3,FALSE)</f>
        <v>10505.507620000002</v>
      </c>
      <c r="Q46" t="str">
        <f t="shared" si="12"/>
        <v>Indonesia</v>
      </c>
      <c r="R46" s="3">
        <f t="shared" si="22"/>
        <v>12335.294040000002</v>
      </c>
      <c r="S46" s="3">
        <f t="shared" si="23"/>
        <v>7623.205120000001</v>
      </c>
      <c r="T46" s="3">
        <f t="shared" si="24"/>
        <v>3860.6617200000005</v>
      </c>
      <c r="U46" s="3">
        <f t="shared" si="25"/>
        <v>10505.507620000002</v>
      </c>
      <c r="V46" s="3">
        <f t="shared" si="26"/>
        <v>6494.442100000001</v>
      </c>
      <c r="W46" s="3">
        <f t="shared" si="27"/>
        <v>3286.3787800000005</v>
      </c>
      <c r="X46" s="3">
        <f t="shared" si="28"/>
        <v>9133.170500000002</v>
      </c>
      <c r="Y46" s="3">
        <f t="shared" si="29"/>
        <v>5623.116260000002</v>
      </c>
      <c r="Z46" s="3">
        <f t="shared" si="30"/>
        <v>2860.6119000000003</v>
      </c>
      <c r="AA46" s="3">
        <f t="shared" si="13"/>
        <v>39563</v>
      </c>
      <c r="AB46" s="49"/>
      <c r="AC46" s="49"/>
      <c r="AD46" s="49"/>
      <c r="AE46" t="s">
        <v>969</v>
      </c>
      <c r="AI46" t="str">
        <f t="shared" si="14"/>
        <v>INDONESIA (USD)</v>
      </c>
      <c r="AJ46" t="str">
        <f t="shared" si="15"/>
        <v>8629 6399 3709 </v>
      </c>
      <c r="AK46">
        <v>8629</v>
      </c>
      <c r="AL46">
        <v>6399</v>
      </c>
      <c r="AM46">
        <v>3709</v>
      </c>
      <c r="AO46" t="s">
        <v>750</v>
      </c>
      <c r="AS46" t="str">
        <f t="shared" si="16"/>
        <v>INDONESIA (USD)</v>
      </c>
      <c r="AT46" t="str">
        <f t="shared" si="17"/>
        <v>7349 5449 3159 </v>
      </c>
      <c r="AU46">
        <v>7349</v>
      </c>
      <c r="AV46">
        <v>5449</v>
      </c>
      <c r="AW46">
        <v>3159</v>
      </c>
      <c r="AY46" t="s">
        <v>636</v>
      </c>
      <c r="BC46" t="str">
        <f t="shared" si="18"/>
        <v>INDONESIA (USD)</v>
      </c>
      <c r="BD46" t="str">
        <f t="shared" si="19"/>
        <v>6389 4739 2749 </v>
      </c>
      <c r="BE46">
        <v>6389</v>
      </c>
      <c r="BF46">
        <v>4739</v>
      </c>
      <c r="BG46">
        <v>2749</v>
      </c>
      <c r="BJ46" t="str">
        <f t="shared" si="31"/>
        <v>INDONESIA                     9133     5623     2861</v>
      </c>
    </row>
    <row r="47" spans="1:62" ht="12.75">
      <c r="A47" t="s">
        <v>804</v>
      </c>
      <c r="B47">
        <v>59</v>
      </c>
      <c r="C47" t="s">
        <v>803</v>
      </c>
      <c r="D47">
        <v>14293</v>
      </c>
      <c r="E47">
        <v>7749</v>
      </c>
      <c r="F47">
        <v>3569</v>
      </c>
      <c r="G47">
        <v>12127</v>
      </c>
      <c r="H47">
        <v>6559</v>
      </c>
      <c r="I47">
        <v>3049</v>
      </c>
      <c r="J47">
        <v>10539</v>
      </c>
      <c r="K47">
        <v>5669</v>
      </c>
      <c r="L47">
        <v>2519</v>
      </c>
      <c r="M47" t="str">
        <f t="shared" si="20"/>
        <v>EUR</v>
      </c>
      <c r="N47">
        <v>39563</v>
      </c>
      <c r="O47">
        <f t="shared" si="21"/>
        <v>10</v>
      </c>
      <c r="P47" s="3">
        <f>HLOOKUP(STclid,$R$7:$Z$104,ROWS($X$10:X47)+3,FALSE)</f>
        <v>18863.050101242803</v>
      </c>
      <c r="Q47" t="str">
        <f t="shared" si="12"/>
        <v>Ireland</v>
      </c>
      <c r="R47" s="3">
        <f t="shared" si="22"/>
        <v>22232.15882732773</v>
      </c>
      <c r="S47" s="3">
        <f t="shared" si="23"/>
        <v>12053.28186356976</v>
      </c>
      <c r="T47" s="3">
        <f t="shared" si="24"/>
        <v>5551.493093932182</v>
      </c>
      <c r="U47" s="3">
        <f t="shared" si="25"/>
        <v>18863.050101242803</v>
      </c>
      <c r="V47" s="3">
        <f t="shared" si="26"/>
        <v>10202.294151639444</v>
      </c>
      <c r="W47" s="3">
        <f t="shared" si="27"/>
        <v>4742.658127374398</v>
      </c>
      <c r="X47" s="3">
        <f t="shared" si="28"/>
        <v>16392.99254952403</v>
      </c>
      <c r="Y47" s="3">
        <f t="shared" si="29"/>
        <v>8817.941997338621</v>
      </c>
      <c r="Z47" s="3">
        <f t="shared" si="30"/>
        <v>3918.2686422289617</v>
      </c>
      <c r="AA47" s="3">
        <f t="shared" si="13"/>
        <v>39563</v>
      </c>
      <c r="AB47" s="49"/>
      <c r="AC47" s="49"/>
      <c r="AD47" s="49"/>
      <c r="AE47" t="s">
        <v>970</v>
      </c>
      <c r="AI47" t="str">
        <f t="shared" si="14"/>
        <v>IRELAND (EUR)</v>
      </c>
      <c r="AJ47" t="str">
        <f t="shared" si="15"/>
        <v>9899 6499 3249 </v>
      </c>
      <c r="AK47">
        <v>9899</v>
      </c>
      <c r="AL47">
        <v>6499</v>
      </c>
      <c r="AM47">
        <v>3249</v>
      </c>
      <c r="AO47" t="s">
        <v>751</v>
      </c>
      <c r="AS47" t="str">
        <f t="shared" si="16"/>
        <v>IRELAND (EUR)</v>
      </c>
      <c r="AT47" t="str">
        <f t="shared" si="17"/>
        <v>8399 5549 2749 </v>
      </c>
      <c r="AU47">
        <v>8399</v>
      </c>
      <c r="AV47">
        <v>5549</v>
      </c>
      <c r="AW47">
        <v>2749</v>
      </c>
      <c r="AY47" t="s">
        <v>637</v>
      </c>
      <c r="BC47" t="str">
        <f t="shared" si="18"/>
        <v>IRELAND (EUR)</v>
      </c>
      <c r="BD47" t="str">
        <f t="shared" si="19"/>
        <v>7299 4799 2399 </v>
      </c>
      <c r="BE47">
        <v>7299</v>
      </c>
      <c r="BF47">
        <v>4799</v>
      </c>
      <c r="BG47">
        <v>2399</v>
      </c>
      <c r="BJ47" t="str">
        <f t="shared" si="31"/>
        <v>IRELAND                       16393     8818     3918</v>
      </c>
    </row>
    <row r="48" spans="1:62" ht="12.75">
      <c r="A48" t="s">
        <v>805</v>
      </c>
      <c r="B48">
        <v>55</v>
      </c>
      <c r="C48" t="s">
        <v>804</v>
      </c>
      <c r="D48">
        <v>18212</v>
      </c>
      <c r="E48">
        <v>9681</v>
      </c>
      <c r="F48">
        <v>4549</v>
      </c>
      <c r="G48">
        <v>15433</v>
      </c>
      <c r="H48">
        <v>8218</v>
      </c>
      <c r="I48">
        <v>3881</v>
      </c>
      <c r="J48">
        <v>13442</v>
      </c>
      <c r="K48">
        <v>7128</v>
      </c>
      <c r="L48">
        <v>3160</v>
      </c>
      <c r="M48" t="str">
        <f t="shared" si="20"/>
        <v>USD</v>
      </c>
      <c r="N48">
        <v>39563</v>
      </c>
      <c r="O48">
        <f t="shared" si="21"/>
        <v>35</v>
      </c>
      <c r="P48" s="3">
        <f>HLOOKUP(STclid,$R$7:$Z$104,ROWS($X$10:X48)+3,FALSE)</f>
        <v>15433.085640000001</v>
      </c>
      <c r="Q48" t="str">
        <f t="shared" si="12"/>
        <v>Israel</v>
      </c>
      <c r="R48" s="3">
        <f t="shared" si="22"/>
        <v>18212.08564</v>
      </c>
      <c r="S48" s="3">
        <f t="shared" si="23"/>
        <v>9681.085640000001</v>
      </c>
      <c r="T48" s="3">
        <f t="shared" si="24"/>
        <v>4549.08564</v>
      </c>
      <c r="U48" s="3">
        <f t="shared" si="25"/>
        <v>15433.085640000001</v>
      </c>
      <c r="V48" s="3">
        <f t="shared" si="26"/>
        <v>8218.085640000001</v>
      </c>
      <c r="W48" s="3">
        <f t="shared" si="27"/>
        <v>3881.08564</v>
      </c>
      <c r="X48" s="3">
        <f t="shared" si="28"/>
        <v>13442.085640000001</v>
      </c>
      <c r="Y48" s="3">
        <f t="shared" si="29"/>
        <v>7128.08564</v>
      </c>
      <c r="Z48" s="3">
        <f t="shared" si="30"/>
        <v>3160.08564</v>
      </c>
      <c r="AA48" s="3">
        <f t="shared" si="13"/>
        <v>39563</v>
      </c>
      <c r="AB48" s="49"/>
      <c r="AC48" s="49"/>
      <c r="AD48" s="49"/>
      <c r="AE48" t="s">
        <v>971</v>
      </c>
      <c r="AI48" t="str">
        <f t="shared" si="14"/>
        <v>ISRAEL (USD)</v>
      </c>
      <c r="AJ48" t="str">
        <f t="shared" si="15"/>
        <v>9437 6737 3454 </v>
      </c>
      <c r="AK48">
        <v>9437</v>
      </c>
      <c r="AL48">
        <v>6737</v>
      </c>
      <c r="AM48">
        <v>3454</v>
      </c>
      <c r="AO48" t="s">
        <v>752</v>
      </c>
      <c r="AS48" t="str">
        <f t="shared" si="16"/>
        <v>ISRAEL (USD)</v>
      </c>
      <c r="AT48" t="str">
        <f t="shared" si="17"/>
        <v>8039 5739 2942 </v>
      </c>
      <c r="AU48">
        <v>8039</v>
      </c>
      <c r="AV48">
        <v>5739</v>
      </c>
      <c r="AW48">
        <v>2942</v>
      </c>
      <c r="AY48" t="s">
        <v>638</v>
      </c>
      <c r="BC48" t="str">
        <f t="shared" si="18"/>
        <v>ISRAEL (USD)</v>
      </c>
      <c r="BD48" t="str">
        <f t="shared" si="19"/>
        <v>6990 4990 2559 </v>
      </c>
      <c r="BE48">
        <v>6990</v>
      </c>
      <c r="BF48">
        <v>4990</v>
      </c>
      <c r="BG48">
        <v>2559</v>
      </c>
      <c r="BJ48" t="str">
        <f t="shared" si="31"/>
        <v>ISRAEL                        13442     7128     3160</v>
      </c>
    </row>
    <row r="49" spans="1:62" ht="12.75">
      <c r="A49" t="s">
        <v>806</v>
      </c>
      <c r="B49">
        <v>10</v>
      </c>
      <c r="C49" t="s">
        <v>805</v>
      </c>
      <c r="D49">
        <v>14293</v>
      </c>
      <c r="E49">
        <v>7749</v>
      </c>
      <c r="F49">
        <v>3569</v>
      </c>
      <c r="G49">
        <v>12127</v>
      </c>
      <c r="H49">
        <v>6559</v>
      </c>
      <c r="I49">
        <v>3049</v>
      </c>
      <c r="J49">
        <v>10539</v>
      </c>
      <c r="K49">
        <v>5669</v>
      </c>
      <c r="L49">
        <v>2519</v>
      </c>
      <c r="M49" t="str">
        <f t="shared" si="20"/>
        <v>EUR</v>
      </c>
      <c r="N49">
        <v>39563</v>
      </c>
      <c r="O49">
        <f t="shared" si="21"/>
        <v>9</v>
      </c>
      <c r="P49" s="3">
        <f>HLOOKUP(STclid,$R$7:$Z$104,ROWS($X$10:X49)+3,FALSE)</f>
        <v>18863.050261242806</v>
      </c>
      <c r="Q49" t="str">
        <f t="shared" si="12"/>
        <v>Italy</v>
      </c>
      <c r="R49" s="3">
        <f t="shared" si="22"/>
        <v>22232.158987327733</v>
      </c>
      <c r="S49" s="3">
        <f t="shared" si="23"/>
        <v>12053.28202356976</v>
      </c>
      <c r="T49" s="3">
        <f t="shared" si="24"/>
        <v>5551.493253932182</v>
      </c>
      <c r="U49" s="3">
        <f t="shared" si="25"/>
        <v>18863.050261242806</v>
      </c>
      <c r="V49" s="3">
        <f t="shared" si="26"/>
        <v>10202.294311639444</v>
      </c>
      <c r="W49" s="3">
        <f t="shared" si="27"/>
        <v>4742.658287374397</v>
      </c>
      <c r="X49" s="3">
        <f t="shared" si="28"/>
        <v>16392.992709524035</v>
      </c>
      <c r="Y49" s="3">
        <f t="shared" si="29"/>
        <v>8817.94215733862</v>
      </c>
      <c r="Z49" s="3">
        <f t="shared" si="30"/>
        <v>3918.2688022289617</v>
      </c>
      <c r="AA49" s="3">
        <f t="shared" si="13"/>
        <v>39563</v>
      </c>
      <c r="AB49" s="49"/>
      <c r="AC49" s="49"/>
      <c r="AD49" s="49"/>
      <c r="AE49" t="s">
        <v>972</v>
      </c>
      <c r="AI49" t="str">
        <f t="shared" si="14"/>
        <v>ITALY (EUR)</v>
      </c>
      <c r="AJ49" t="str">
        <f t="shared" si="15"/>
        <v>9899 6499 3249 </v>
      </c>
      <c r="AK49">
        <v>9899</v>
      </c>
      <c r="AL49">
        <v>6499</v>
      </c>
      <c r="AM49">
        <v>3249</v>
      </c>
      <c r="AO49" t="s">
        <v>753</v>
      </c>
      <c r="AS49" t="str">
        <f t="shared" si="16"/>
        <v>ITALY (EUR)</v>
      </c>
      <c r="AT49" t="str">
        <f t="shared" si="17"/>
        <v>8399 5549 2749 </v>
      </c>
      <c r="AU49">
        <v>8399</v>
      </c>
      <c r="AV49">
        <v>5549</v>
      </c>
      <c r="AW49">
        <v>2749</v>
      </c>
      <c r="AY49" t="s">
        <v>639</v>
      </c>
      <c r="BC49" t="str">
        <f t="shared" si="18"/>
        <v>ITALY (EUR)</v>
      </c>
      <c r="BD49" t="str">
        <f t="shared" si="19"/>
        <v>7299 4799 2399 </v>
      </c>
      <c r="BE49">
        <v>7299</v>
      </c>
      <c r="BF49">
        <v>4799</v>
      </c>
      <c r="BG49">
        <v>2399</v>
      </c>
      <c r="BJ49" t="str">
        <f t="shared" si="31"/>
        <v>ITALY                         16393     8818     3918</v>
      </c>
    </row>
    <row r="50" spans="1:62" ht="12.75">
      <c r="A50" t="s">
        <v>807</v>
      </c>
      <c r="B50">
        <v>13</v>
      </c>
      <c r="C50" t="s">
        <v>806</v>
      </c>
      <c r="D50">
        <v>10418</v>
      </c>
      <c r="E50">
        <v>8191</v>
      </c>
      <c r="F50">
        <v>4488</v>
      </c>
      <c r="G50">
        <v>8874</v>
      </c>
      <c r="H50">
        <v>6978</v>
      </c>
      <c r="I50">
        <v>3823</v>
      </c>
      <c r="J50">
        <v>7717</v>
      </c>
      <c r="K50">
        <v>6063</v>
      </c>
      <c r="L50">
        <v>3320</v>
      </c>
      <c r="M50" t="str">
        <f t="shared" si="20"/>
        <v>USD</v>
      </c>
      <c r="N50" t="s">
        <v>493</v>
      </c>
      <c r="O50">
        <f t="shared" si="21"/>
        <v>74</v>
      </c>
      <c r="P50" s="3">
        <f>HLOOKUP(STclid,$R$7:$Z$104,ROWS($X$10:X50)+3,FALSE)</f>
        <v>8874.08479</v>
      </c>
      <c r="Q50" t="str">
        <f t="shared" si="12"/>
        <v>Jamaica</v>
      </c>
      <c r="R50" s="3">
        <f t="shared" si="22"/>
        <v>10418.08479</v>
      </c>
      <c r="S50" s="3">
        <f t="shared" si="23"/>
        <v>8191.084789999999</v>
      </c>
      <c r="T50" s="3">
        <f t="shared" si="24"/>
        <v>4488.084789999999</v>
      </c>
      <c r="U50" s="3">
        <f t="shared" si="25"/>
        <v>8874.08479</v>
      </c>
      <c r="V50" s="3">
        <f t="shared" si="26"/>
        <v>6978.084789999999</v>
      </c>
      <c r="W50" s="3">
        <f t="shared" si="27"/>
        <v>3823.0847900000003</v>
      </c>
      <c r="X50" s="3">
        <f t="shared" si="28"/>
        <v>7717.084789999999</v>
      </c>
      <c r="Y50" s="3">
        <f t="shared" si="29"/>
        <v>6063.084789999999</v>
      </c>
      <c r="Z50" s="3">
        <f t="shared" si="30"/>
        <v>3320.0847900000003</v>
      </c>
      <c r="AA50" s="3" t="str">
        <f t="shared" si="13"/>
        <v>old</v>
      </c>
      <c r="AB50" s="49"/>
      <c r="AC50" s="49"/>
      <c r="AD50" s="49"/>
      <c r="AE50" t="s">
        <v>973</v>
      </c>
      <c r="AI50" t="str">
        <f t="shared" si="14"/>
        <v>JAMAICA (USD)</v>
      </c>
      <c r="AJ50" t="str">
        <f t="shared" si="15"/>
        <v>10418 8191 4488 </v>
      </c>
      <c r="AK50">
        <v>10418</v>
      </c>
      <c r="AL50">
        <v>8191</v>
      </c>
      <c r="AM50">
        <v>4488</v>
      </c>
      <c r="AO50" t="s">
        <v>754</v>
      </c>
      <c r="AS50" t="str">
        <f t="shared" si="16"/>
        <v>JAMAICA (USD)</v>
      </c>
      <c r="AT50" t="str">
        <f t="shared" si="17"/>
        <v>8874 6978 3823 </v>
      </c>
      <c r="AU50">
        <v>8874</v>
      </c>
      <c r="AV50">
        <v>6978</v>
      </c>
      <c r="AW50">
        <v>3823</v>
      </c>
      <c r="AY50" t="s">
        <v>640</v>
      </c>
      <c r="BC50" t="str">
        <f t="shared" si="18"/>
        <v>JAMAICA (USD)</v>
      </c>
      <c r="BD50" t="str">
        <f t="shared" si="19"/>
        <v>7717 6063 3320 </v>
      </c>
      <c r="BE50">
        <v>7717</v>
      </c>
      <c r="BF50">
        <v>6063</v>
      </c>
      <c r="BG50">
        <v>3320</v>
      </c>
      <c r="BJ50" t="str">
        <f t="shared" si="31"/>
        <v>JAMAICA                       7717     6063     3320</v>
      </c>
    </row>
    <row r="51" spans="1:62" ht="12.75">
      <c r="A51" t="s">
        <v>808</v>
      </c>
      <c r="B51">
        <v>44</v>
      </c>
      <c r="C51" t="s">
        <v>807</v>
      </c>
      <c r="D51">
        <v>1170000</v>
      </c>
      <c r="E51">
        <v>804000</v>
      </c>
      <c r="G51">
        <v>996000</v>
      </c>
      <c r="H51">
        <v>685000</v>
      </c>
      <c r="J51">
        <v>866000</v>
      </c>
      <c r="K51">
        <v>595000</v>
      </c>
      <c r="L51">
        <v>335000</v>
      </c>
      <c r="M51" t="str">
        <f t="shared" si="20"/>
        <v>JPY</v>
      </c>
      <c r="N51">
        <v>39563</v>
      </c>
      <c r="O51">
        <f t="shared" si="21"/>
        <v>62</v>
      </c>
      <c r="P51" s="3">
        <f>HLOOKUP(STclid,$R$7:$Z$104,ROWS($X$10:X51)+3,FALSE)</f>
        <v>9578.942089256294</v>
      </c>
      <c r="Q51" t="str">
        <f t="shared" si="12"/>
        <v>Japan</v>
      </c>
      <c r="R51" s="3">
        <f t="shared" si="22"/>
        <v>11252.356913403479</v>
      </c>
      <c r="S51" s="3">
        <f t="shared" si="23"/>
        <v>7732.415386749055</v>
      </c>
      <c r="T51" s="3">
        <f t="shared" si="24"/>
        <v>0.08481999999999999</v>
      </c>
      <c r="U51" s="3">
        <f t="shared" si="25"/>
        <v>9578.942089256294</v>
      </c>
      <c r="V51" s="3">
        <f t="shared" si="26"/>
        <v>6587.95352425759</v>
      </c>
      <c r="W51" s="3">
        <f t="shared" si="27"/>
        <v>0.08481999999999999</v>
      </c>
      <c r="X51" s="3">
        <f t="shared" si="28"/>
        <v>8328.689634433686</v>
      </c>
      <c r="Y51" s="3">
        <f t="shared" si="29"/>
        <v>5722.3941324573225</v>
      </c>
      <c r="Z51" s="3">
        <f t="shared" si="30"/>
        <v>3221.8892228121067</v>
      </c>
      <c r="AA51" s="3">
        <f t="shared" si="13"/>
        <v>39563</v>
      </c>
      <c r="AB51" s="49"/>
      <c r="AC51" s="49"/>
      <c r="AD51" s="49"/>
      <c r="AE51" t="s">
        <v>974</v>
      </c>
      <c r="AI51" t="str">
        <f t="shared" si="14"/>
        <v>JAPAN (JPY)</v>
      </c>
      <c r="AJ51" t="str">
        <f t="shared" si="15"/>
        <v>1170000 804000 452000 </v>
      </c>
      <c r="AK51">
        <v>1170000</v>
      </c>
      <c r="AL51">
        <v>804000</v>
      </c>
      <c r="AM51">
        <v>452000</v>
      </c>
      <c r="AO51" t="s">
        <v>755</v>
      </c>
      <c r="AS51" t="str">
        <f t="shared" si="16"/>
        <v>JAPAN (JPY)</v>
      </c>
      <c r="AT51" t="str">
        <f t="shared" si="17"/>
        <v>996000 685000 385000 </v>
      </c>
      <c r="AU51">
        <v>996000</v>
      </c>
      <c r="AV51">
        <v>685000</v>
      </c>
      <c r="AW51">
        <v>385000</v>
      </c>
      <c r="AY51" t="s">
        <v>641</v>
      </c>
      <c r="BC51" t="str">
        <f t="shared" si="18"/>
        <v>JAPAN (JPY)</v>
      </c>
      <c r="BD51" t="str">
        <f t="shared" si="19"/>
        <v>866000 595000 335000 </v>
      </c>
      <c r="BE51">
        <v>866000</v>
      </c>
      <c r="BF51">
        <v>595000</v>
      </c>
      <c r="BG51">
        <v>335000</v>
      </c>
      <c r="BJ51" t="str">
        <f t="shared" si="31"/>
        <v>JAPAN                         8329     5722     3222</v>
      </c>
    </row>
    <row r="52" spans="1:62" ht="12.75">
      <c r="A52" t="s">
        <v>809</v>
      </c>
      <c r="B52">
        <v>84</v>
      </c>
      <c r="C52" t="s">
        <v>808</v>
      </c>
      <c r="D52">
        <v>6705</v>
      </c>
      <c r="E52">
        <v>4788</v>
      </c>
      <c r="F52">
        <v>2454</v>
      </c>
      <c r="G52">
        <v>5711</v>
      </c>
      <c r="H52">
        <v>4078</v>
      </c>
      <c r="I52">
        <v>2090</v>
      </c>
      <c r="J52">
        <v>4966</v>
      </c>
      <c r="K52">
        <v>3546</v>
      </c>
      <c r="L52">
        <v>1818</v>
      </c>
      <c r="M52" t="str">
        <f t="shared" si="20"/>
        <v>JOD</v>
      </c>
      <c r="N52" t="s">
        <v>493</v>
      </c>
      <c r="O52">
        <f t="shared" si="21"/>
        <v>84</v>
      </c>
      <c r="P52" s="3">
        <f>HLOOKUP(STclid,$R$7:$Z$104,ROWS($X$10:X52)+3,FALSE)</f>
        <v>8018.901179623701</v>
      </c>
      <c r="Q52" t="str">
        <f t="shared" si="12"/>
        <v>Jordan</v>
      </c>
      <c r="R52" s="3">
        <f t="shared" si="22"/>
        <v>9414.576551710194</v>
      </c>
      <c r="S52" s="3">
        <f t="shared" si="23"/>
        <v>6722.916905543386</v>
      </c>
      <c r="T52" s="3">
        <f t="shared" si="24"/>
        <v>3445.7475710867734</v>
      </c>
      <c r="U52" s="3">
        <f t="shared" si="25"/>
        <v>8018.901179623701</v>
      </c>
      <c r="V52" s="3">
        <f t="shared" si="26"/>
        <v>5726.005925481606</v>
      </c>
      <c r="W52" s="3">
        <f t="shared" si="27"/>
        <v>2934.655181308621</v>
      </c>
      <c r="X52" s="3">
        <f t="shared" si="28"/>
        <v>6972.84670054479</v>
      </c>
      <c r="Y52" s="3">
        <f t="shared" si="29"/>
        <v>4979.02474042123</v>
      </c>
      <c r="Z52" s="3">
        <f t="shared" si="30"/>
        <v>2552.739988946925</v>
      </c>
      <c r="AA52" s="3" t="str">
        <f t="shared" si="13"/>
        <v>old</v>
      </c>
      <c r="AB52" s="49"/>
      <c r="AC52" s="49"/>
      <c r="AD52" s="49"/>
      <c r="AE52" t="s">
        <v>975</v>
      </c>
      <c r="AI52" t="str">
        <f t="shared" si="14"/>
        <v>JORDAN (JOD)</v>
      </c>
      <c r="AJ52" t="str">
        <f t="shared" si="15"/>
        <v>6705 4788 2454 </v>
      </c>
      <c r="AK52">
        <v>6705</v>
      </c>
      <c r="AL52">
        <v>4788</v>
      </c>
      <c r="AM52">
        <v>2454</v>
      </c>
      <c r="AO52" t="s">
        <v>759</v>
      </c>
      <c r="AS52" t="str">
        <f t="shared" si="16"/>
        <v>JORDAN (JOD)</v>
      </c>
      <c r="AT52" t="str">
        <f t="shared" si="17"/>
        <v>5711 4078 2090 </v>
      </c>
      <c r="AU52">
        <v>5711</v>
      </c>
      <c r="AV52">
        <v>4078</v>
      </c>
      <c r="AW52">
        <v>2090</v>
      </c>
      <c r="AY52" t="s">
        <v>642</v>
      </c>
      <c r="BC52" t="str">
        <f t="shared" si="18"/>
        <v>JORDAN (JOD)</v>
      </c>
      <c r="BD52" t="str">
        <f t="shared" si="19"/>
        <v>4966 3546 1818 </v>
      </c>
      <c r="BE52">
        <v>4966</v>
      </c>
      <c r="BF52">
        <v>3546</v>
      </c>
      <c r="BG52">
        <v>1818</v>
      </c>
      <c r="BJ52" t="str">
        <f t="shared" si="31"/>
        <v>JORDAN                        6973     4979     2553</v>
      </c>
    </row>
    <row r="53" spans="1:62" ht="12.75">
      <c r="A53" t="s">
        <v>810</v>
      </c>
      <c r="B53">
        <v>64</v>
      </c>
      <c r="C53" t="s">
        <v>809</v>
      </c>
      <c r="D53">
        <v>2789</v>
      </c>
      <c r="E53">
        <v>2153</v>
      </c>
      <c r="F53">
        <v>1124</v>
      </c>
      <c r="G53">
        <v>2376</v>
      </c>
      <c r="H53">
        <v>1834</v>
      </c>
      <c r="I53">
        <v>958</v>
      </c>
      <c r="J53">
        <v>2066</v>
      </c>
      <c r="K53">
        <v>1595</v>
      </c>
      <c r="L53">
        <v>833</v>
      </c>
      <c r="M53" t="str">
        <f t="shared" si="20"/>
        <v>KWD</v>
      </c>
      <c r="N53" t="s">
        <v>493</v>
      </c>
      <c r="O53">
        <f t="shared" si="21"/>
        <v>77</v>
      </c>
      <c r="P53" s="3">
        <f>HLOOKUP(STclid,$R$7:$Z$104,ROWS($X$10:X53)+3,FALSE)</f>
        <v>8862.45267925774</v>
      </c>
      <c r="Q53" t="str">
        <f t="shared" si="12"/>
        <v>Kuwait</v>
      </c>
      <c r="R53" s="3">
        <f t="shared" si="22"/>
        <v>10402.92265314808</v>
      </c>
      <c r="S53" s="3">
        <f t="shared" si="23"/>
        <v>8030.673492387169</v>
      </c>
      <c r="T53" s="3">
        <f t="shared" si="24"/>
        <v>4192.5533879485265</v>
      </c>
      <c r="U53" s="3">
        <f t="shared" si="25"/>
        <v>8862.45267925774</v>
      </c>
      <c r="V53" s="3">
        <f t="shared" si="26"/>
        <v>6840.8189604960835</v>
      </c>
      <c r="W53" s="3">
        <f t="shared" si="27"/>
        <v>3573.381437183886</v>
      </c>
      <c r="X53" s="3">
        <f t="shared" si="28"/>
        <v>7706.167710962327</v>
      </c>
      <c r="Y53" s="3">
        <f t="shared" si="29"/>
        <v>5949.360549455427</v>
      </c>
      <c r="Z53" s="3">
        <f t="shared" si="30"/>
        <v>3107.1374983550913</v>
      </c>
      <c r="AA53" s="3" t="str">
        <f t="shared" si="13"/>
        <v>old</v>
      </c>
      <c r="AB53" s="49"/>
      <c r="AC53" s="49"/>
      <c r="AD53" s="49"/>
      <c r="AE53" t="s">
        <v>976</v>
      </c>
      <c r="AI53" t="str">
        <f t="shared" si="14"/>
        <v>KUWAIT (KWD)</v>
      </c>
      <c r="AJ53" t="str">
        <f t="shared" si="15"/>
        <v>2789 2153 1124 </v>
      </c>
      <c r="AK53">
        <v>2789</v>
      </c>
      <c r="AL53">
        <v>2153</v>
      </c>
      <c r="AM53">
        <v>1124</v>
      </c>
      <c r="AO53" t="s">
        <v>760</v>
      </c>
      <c r="AS53" t="str">
        <f t="shared" si="16"/>
        <v>KUWAIT (KWD)</v>
      </c>
      <c r="AT53" t="str">
        <f t="shared" si="17"/>
        <v>2376 1834 958 </v>
      </c>
      <c r="AU53">
        <v>2376</v>
      </c>
      <c r="AV53">
        <v>1834</v>
      </c>
      <c r="AW53">
        <v>958</v>
      </c>
      <c r="AY53" t="s">
        <v>643</v>
      </c>
      <c r="BC53" t="str">
        <f t="shared" si="18"/>
        <v>KUWAIT (KWD)</v>
      </c>
      <c r="BD53" t="str">
        <f t="shared" si="19"/>
        <v>2066 1595 833 </v>
      </c>
      <c r="BE53">
        <v>2066</v>
      </c>
      <c r="BF53">
        <v>1595</v>
      </c>
      <c r="BG53">
        <v>833</v>
      </c>
      <c r="BJ53" t="str">
        <f t="shared" si="31"/>
        <v>KUWAIT                        7706     5949     3107</v>
      </c>
    </row>
    <row r="54" spans="1:62" ht="12.75">
      <c r="A54" t="s">
        <v>811</v>
      </c>
      <c r="B54">
        <v>54</v>
      </c>
      <c r="C54" t="s">
        <v>810</v>
      </c>
      <c r="D54">
        <v>9680.623608017817</v>
      </c>
      <c r="E54">
        <v>5133.630289532293</v>
      </c>
      <c r="F54">
        <v>2354.56570155902</v>
      </c>
      <c r="G54">
        <v>8205.34521158129</v>
      </c>
      <c r="H54">
        <v>4365.256124721604</v>
      </c>
      <c r="I54">
        <v>2011.1358574610244</v>
      </c>
      <c r="J54">
        <v>7154.5657015590195</v>
      </c>
      <c r="K54">
        <v>3779.5100222717147</v>
      </c>
      <c r="L54">
        <v>1707.795100222717</v>
      </c>
      <c r="M54" t="str">
        <f t="shared" si="20"/>
        <v>LVL</v>
      </c>
      <c r="N54">
        <v>39563</v>
      </c>
      <c r="O54">
        <f t="shared" si="21"/>
        <v>24</v>
      </c>
      <c r="P54" s="3">
        <f>HLOOKUP(STclid,$R$7:$Z$104,ROWS($X$10:X54)+3,FALSE)</f>
        <v>18185.692382121655</v>
      </c>
      <c r="Q54" t="str">
        <f t="shared" si="12"/>
        <v>Latvia</v>
      </c>
      <c r="R54" s="3">
        <f t="shared" si="22"/>
        <v>21455.369679188425</v>
      </c>
      <c r="S54" s="3">
        <f t="shared" si="23"/>
        <v>11377.8135655237</v>
      </c>
      <c r="T54" s="3">
        <f t="shared" si="24"/>
        <v>5218.539212746055</v>
      </c>
      <c r="U54" s="3">
        <f t="shared" si="25"/>
        <v>18185.692382121655</v>
      </c>
      <c r="V54" s="3">
        <f t="shared" si="26"/>
        <v>9674.856639968093</v>
      </c>
      <c r="W54" s="3">
        <f t="shared" si="27"/>
        <v>4457.391508628157</v>
      </c>
      <c r="X54" s="3">
        <f t="shared" si="28"/>
        <v>15856.83708508648</v>
      </c>
      <c r="Y54" s="3">
        <f t="shared" si="29"/>
        <v>8376.660490921353</v>
      </c>
      <c r="Z54" s="3">
        <f t="shared" si="30"/>
        <v>3785.0937310609866</v>
      </c>
      <c r="AA54" s="3">
        <f t="shared" si="13"/>
        <v>39563</v>
      </c>
      <c r="AB54" s="49"/>
      <c r="AC54" s="49"/>
      <c r="AD54" s="49"/>
      <c r="AE54" t="s">
        <v>977</v>
      </c>
      <c r="AI54" t="str">
        <f t="shared" si="14"/>
        <v>LATVIA (LVL)</v>
      </c>
      <c r="AJ54" t="str">
        <f t="shared" si="15"/>
        <v>5499 3949 1913 </v>
      </c>
      <c r="AK54">
        <v>5499</v>
      </c>
      <c r="AL54">
        <v>3949</v>
      </c>
      <c r="AM54">
        <v>1913</v>
      </c>
      <c r="AO54" t="s">
        <v>761</v>
      </c>
      <c r="AS54" t="str">
        <f t="shared" si="16"/>
        <v>LATVIA (LVL)</v>
      </c>
      <c r="AT54" t="str">
        <f t="shared" si="17"/>
        <v>4679 3349 1630 </v>
      </c>
      <c r="AU54">
        <v>4679</v>
      </c>
      <c r="AV54">
        <v>3349</v>
      </c>
      <c r="AW54">
        <v>1630</v>
      </c>
      <c r="AY54" t="s">
        <v>644</v>
      </c>
      <c r="BC54" t="str">
        <f t="shared" si="18"/>
        <v>LATVIA (LVL)</v>
      </c>
      <c r="BD54" t="str">
        <f t="shared" si="19"/>
        <v>4069 2899 1417 </v>
      </c>
      <c r="BE54">
        <v>4069</v>
      </c>
      <c r="BF54">
        <v>2899</v>
      </c>
      <c r="BG54">
        <v>1417</v>
      </c>
      <c r="BJ54" t="str">
        <f t="shared" si="31"/>
        <v>LATVIA                        15857     8377     3785</v>
      </c>
    </row>
    <row r="55" spans="1:62" ht="12.75">
      <c r="A55" t="s">
        <v>812</v>
      </c>
      <c r="B55">
        <v>78</v>
      </c>
      <c r="C55" t="s">
        <v>811</v>
      </c>
      <c r="D55">
        <v>18212</v>
      </c>
      <c r="E55">
        <v>9681</v>
      </c>
      <c r="F55">
        <v>4549</v>
      </c>
      <c r="G55">
        <v>15433</v>
      </c>
      <c r="H55">
        <v>8218</v>
      </c>
      <c r="I55">
        <v>3881</v>
      </c>
      <c r="J55">
        <v>13442</v>
      </c>
      <c r="K55">
        <v>7128</v>
      </c>
      <c r="L55">
        <v>3160</v>
      </c>
      <c r="M55" t="str">
        <f t="shared" si="20"/>
        <v>USD</v>
      </c>
      <c r="N55">
        <v>39563</v>
      </c>
      <c r="O55">
        <f t="shared" si="21"/>
        <v>34</v>
      </c>
      <c r="P55" s="3">
        <f>HLOOKUP(STclid,$R$7:$Z$104,ROWS($X$10:X55)+3,FALSE)</f>
        <v>15433.08708</v>
      </c>
      <c r="Q55" t="str">
        <f t="shared" si="12"/>
        <v>Lebanon</v>
      </c>
      <c r="R55" s="3">
        <f t="shared" si="22"/>
        <v>18212.08708</v>
      </c>
      <c r="S55" s="3">
        <f t="shared" si="23"/>
        <v>9681.08708</v>
      </c>
      <c r="T55" s="3">
        <f t="shared" si="24"/>
        <v>4549.08708</v>
      </c>
      <c r="U55" s="3">
        <f t="shared" si="25"/>
        <v>15433.08708</v>
      </c>
      <c r="V55" s="3">
        <f t="shared" si="26"/>
        <v>8218.08708</v>
      </c>
      <c r="W55" s="3">
        <f t="shared" si="27"/>
        <v>3881.08708</v>
      </c>
      <c r="X55" s="3">
        <f t="shared" si="28"/>
        <v>13442.08708</v>
      </c>
      <c r="Y55" s="3">
        <f t="shared" si="29"/>
        <v>7128.08708</v>
      </c>
      <c r="Z55" s="3">
        <f t="shared" si="30"/>
        <v>3160.08708</v>
      </c>
      <c r="AA55" s="3">
        <f t="shared" si="13"/>
        <v>39563</v>
      </c>
      <c r="AB55" s="49"/>
      <c r="AC55" s="49"/>
      <c r="AD55" s="49"/>
      <c r="AE55" t="s">
        <v>978</v>
      </c>
      <c r="AI55" t="str">
        <f t="shared" si="14"/>
        <v>LEBANON (USD)</v>
      </c>
      <c r="AJ55" t="str">
        <f t="shared" si="15"/>
        <v>9437 6737 3454 </v>
      </c>
      <c r="AK55">
        <v>9437</v>
      </c>
      <c r="AL55">
        <v>6737</v>
      </c>
      <c r="AM55">
        <v>3454</v>
      </c>
      <c r="AO55" t="s">
        <v>762</v>
      </c>
      <c r="AS55" t="str">
        <f t="shared" si="16"/>
        <v>LEBANON (USD)</v>
      </c>
      <c r="AT55" t="str">
        <f t="shared" si="17"/>
        <v>8039 5739 2942 </v>
      </c>
      <c r="AU55">
        <v>8039</v>
      </c>
      <c r="AV55">
        <v>5739</v>
      </c>
      <c r="AW55">
        <v>2942</v>
      </c>
      <c r="AY55" t="s">
        <v>645</v>
      </c>
      <c r="BC55" t="str">
        <f t="shared" si="18"/>
        <v>LEBANON (USD)</v>
      </c>
      <c r="BD55" t="str">
        <f t="shared" si="19"/>
        <v>6990 4990 2559 </v>
      </c>
      <c r="BE55">
        <v>6990</v>
      </c>
      <c r="BF55">
        <v>4990</v>
      </c>
      <c r="BG55">
        <v>2559</v>
      </c>
      <c r="BJ55" t="str">
        <f t="shared" si="31"/>
        <v>LEBANON                       13442     7128     3160</v>
      </c>
    </row>
    <row r="56" spans="1:62" ht="12.75">
      <c r="A56" t="s">
        <v>813</v>
      </c>
      <c r="B56">
        <v>25</v>
      </c>
      <c r="C56" t="s">
        <v>812</v>
      </c>
      <c r="D56">
        <v>28699</v>
      </c>
      <c r="E56">
        <v>20469</v>
      </c>
      <c r="F56">
        <v>9994</v>
      </c>
      <c r="G56">
        <v>24449</v>
      </c>
      <c r="H56">
        <v>17449</v>
      </c>
      <c r="I56">
        <v>8513</v>
      </c>
      <c r="J56">
        <v>21249</v>
      </c>
      <c r="K56">
        <v>15159</v>
      </c>
      <c r="L56">
        <v>7404</v>
      </c>
      <c r="M56" t="str">
        <f t="shared" si="20"/>
        <v>LTL</v>
      </c>
      <c r="N56" t="s">
        <v>493</v>
      </c>
      <c r="O56">
        <f t="shared" si="21"/>
        <v>54</v>
      </c>
      <c r="P56" s="3">
        <f>HLOOKUP(STclid,$R$7:$Z$104,ROWS($X$10:X56)+3,FALSE)</f>
        <v>10982.972525908988</v>
      </c>
      <c r="Q56" t="str">
        <f t="shared" si="12"/>
        <v>Lithuania</v>
      </c>
      <c r="R56" s="3">
        <f t="shared" si="22"/>
        <v>12892.141026874802</v>
      </c>
      <c r="S56" s="3">
        <f t="shared" si="23"/>
        <v>9195.092376769237</v>
      </c>
      <c r="T56" s="3">
        <f t="shared" si="24"/>
        <v>4489.553542035847</v>
      </c>
      <c r="U56" s="3">
        <f t="shared" si="25"/>
        <v>10982.972525908988</v>
      </c>
      <c r="V56" s="3">
        <f t="shared" si="26"/>
        <v>7838.459700788823</v>
      </c>
      <c r="W56" s="3">
        <f t="shared" si="27"/>
        <v>3824.264471463995</v>
      </c>
      <c r="X56" s="3">
        <f t="shared" si="28"/>
        <v>9545.480948711198</v>
      </c>
      <c r="Y56" s="3">
        <f t="shared" si="29"/>
        <v>6809.754790856655</v>
      </c>
      <c r="Z56" s="3">
        <f t="shared" si="30"/>
        <v>3326.083796741386</v>
      </c>
      <c r="AA56" s="3" t="str">
        <f t="shared" si="13"/>
        <v>old</v>
      </c>
      <c r="AB56" s="49"/>
      <c r="AC56" s="49"/>
      <c r="AD56" s="49"/>
      <c r="AE56" t="s">
        <v>979</v>
      </c>
      <c r="AI56" t="str">
        <f t="shared" si="14"/>
        <v>LITHUANIA (LTL)</v>
      </c>
      <c r="AJ56" t="str">
        <f t="shared" si="15"/>
        <v>28699 20469 9994 </v>
      </c>
      <c r="AK56">
        <v>28699</v>
      </c>
      <c r="AL56">
        <v>20469</v>
      </c>
      <c r="AM56">
        <v>9994</v>
      </c>
      <c r="AO56" t="s">
        <v>763</v>
      </c>
      <c r="AS56" t="str">
        <f t="shared" si="16"/>
        <v>LITHUANIA (LTL)</v>
      </c>
      <c r="AT56" t="str">
        <f t="shared" si="17"/>
        <v>24449 17449 8513 </v>
      </c>
      <c r="AU56">
        <v>24449</v>
      </c>
      <c r="AV56">
        <v>17449</v>
      </c>
      <c r="AW56">
        <v>8513</v>
      </c>
      <c r="AY56" t="s">
        <v>646</v>
      </c>
      <c r="BC56" t="str">
        <f t="shared" si="18"/>
        <v>LITHUANIA (LTL)</v>
      </c>
      <c r="BD56" t="str">
        <f t="shared" si="19"/>
        <v>21249 15159 7404 </v>
      </c>
      <c r="BE56">
        <v>21249</v>
      </c>
      <c r="BF56">
        <v>15159</v>
      </c>
      <c r="BG56">
        <v>7404</v>
      </c>
      <c r="BJ56" t="str">
        <f t="shared" si="31"/>
        <v>LITHUANIA                     9545     6810     3326</v>
      </c>
    </row>
    <row r="57" spans="1:62" ht="12.75">
      <c r="A57" t="s">
        <v>814</v>
      </c>
      <c r="B57">
        <v>61</v>
      </c>
      <c r="C57" t="s">
        <v>813</v>
      </c>
      <c r="D57">
        <v>14293</v>
      </c>
      <c r="E57">
        <v>7749</v>
      </c>
      <c r="F57">
        <v>3569</v>
      </c>
      <c r="G57">
        <v>12127</v>
      </c>
      <c r="H57">
        <v>6559</v>
      </c>
      <c r="I57">
        <v>3049</v>
      </c>
      <c r="J57">
        <v>10539</v>
      </c>
      <c r="K57">
        <v>5669</v>
      </c>
      <c r="L57">
        <v>2519</v>
      </c>
      <c r="M57" t="str">
        <f t="shared" si="20"/>
        <v>EUR</v>
      </c>
      <c r="N57">
        <v>39563</v>
      </c>
      <c r="O57">
        <f t="shared" si="21"/>
        <v>8</v>
      </c>
      <c r="P57" s="3">
        <f>HLOOKUP(STclid,$R$7:$Z$104,ROWS($X$10:X57)+3,FALSE)</f>
        <v>18863.053591242802</v>
      </c>
      <c r="Q57" t="str">
        <f t="shared" si="12"/>
        <v>Luxembourg</v>
      </c>
      <c r="R57" s="3">
        <f t="shared" si="22"/>
        <v>22232.16231732773</v>
      </c>
      <c r="S57" s="3">
        <f t="shared" si="23"/>
        <v>12053.28535356976</v>
      </c>
      <c r="T57" s="3">
        <f t="shared" si="24"/>
        <v>5551.496583932181</v>
      </c>
      <c r="U57" s="3">
        <f t="shared" si="25"/>
        <v>18863.053591242802</v>
      </c>
      <c r="V57" s="3">
        <f t="shared" si="26"/>
        <v>10202.297641639443</v>
      </c>
      <c r="W57" s="3">
        <f t="shared" si="27"/>
        <v>4742.661617374397</v>
      </c>
      <c r="X57" s="3">
        <f t="shared" si="28"/>
        <v>16392.99603952403</v>
      </c>
      <c r="Y57" s="3">
        <f t="shared" si="29"/>
        <v>8817.94548733862</v>
      </c>
      <c r="Z57" s="3">
        <f t="shared" si="30"/>
        <v>3918.272132228962</v>
      </c>
      <c r="AA57" s="3">
        <f t="shared" si="13"/>
        <v>39563</v>
      </c>
      <c r="AB57" s="49"/>
      <c r="AC57" s="49"/>
      <c r="AD57" s="49"/>
      <c r="AE57" t="s">
        <v>871</v>
      </c>
      <c r="AI57" t="str">
        <f t="shared" si="14"/>
        <v>LUXEMBOURG (EUR)</v>
      </c>
      <c r="AJ57" t="str">
        <f t="shared" si="15"/>
        <v>9899 6499 3249 </v>
      </c>
      <c r="AK57">
        <v>9899</v>
      </c>
      <c r="AL57">
        <v>6499</v>
      </c>
      <c r="AM57">
        <v>3249</v>
      </c>
      <c r="AO57" t="s">
        <v>764</v>
      </c>
      <c r="AS57" t="str">
        <f t="shared" si="16"/>
        <v>LUXEMBOURG (EUR)</v>
      </c>
      <c r="AT57" t="str">
        <f t="shared" si="17"/>
        <v>8399 5549 2749 </v>
      </c>
      <c r="AU57">
        <v>8399</v>
      </c>
      <c r="AV57">
        <v>5549</v>
      </c>
      <c r="AW57">
        <v>2749</v>
      </c>
      <c r="AY57" t="s">
        <v>647</v>
      </c>
      <c r="BC57" t="str">
        <f t="shared" si="18"/>
        <v>LUXEMBOURG (EUR)</v>
      </c>
      <c r="BD57" t="str">
        <f t="shared" si="19"/>
        <v>7299 4799 2399 </v>
      </c>
      <c r="BE57">
        <v>7299</v>
      </c>
      <c r="BF57">
        <v>4799</v>
      </c>
      <c r="BG57">
        <v>2399</v>
      </c>
      <c r="BJ57" t="str">
        <f t="shared" si="31"/>
        <v>LUXEMBOURG                    16393     8818     3918</v>
      </c>
    </row>
    <row r="58" spans="1:62" ht="12.75">
      <c r="A58" t="s">
        <v>815</v>
      </c>
      <c r="B58">
        <v>45</v>
      </c>
      <c r="C58" t="s">
        <v>814</v>
      </c>
      <c r="D58">
        <v>10171</v>
      </c>
      <c r="E58">
        <v>8122</v>
      </c>
      <c r="F58">
        <v>4471</v>
      </c>
      <c r="G58">
        <v>8663</v>
      </c>
      <c r="H58">
        <v>6926</v>
      </c>
      <c r="I58">
        <v>3785</v>
      </c>
      <c r="J58">
        <v>7530</v>
      </c>
      <c r="K58">
        <v>6011</v>
      </c>
      <c r="L58">
        <v>3327</v>
      </c>
      <c r="M58" t="str">
        <f t="shared" si="20"/>
        <v>USD</v>
      </c>
      <c r="N58" t="s">
        <v>493</v>
      </c>
      <c r="O58">
        <f t="shared" si="21"/>
        <v>79</v>
      </c>
      <c r="P58" s="3">
        <f>HLOOKUP(STclid,$R$7:$Z$104,ROWS($X$10:X58)+3,FALSE)</f>
        <v>8663.0877</v>
      </c>
      <c r="Q58" t="str">
        <f t="shared" si="12"/>
        <v>Madagascar</v>
      </c>
      <c r="R58" s="3">
        <f t="shared" si="22"/>
        <v>10171.0877</v>
      </c>
      <c r="S58" s="3">
        <f t="shared" si="23"/>
        <v>8122.0877</v>
      </c>
      <c r="T58" s="3">
        <f t="shared" si="24"/>
        <v>4471.0877</v>
      </c>
      <c r="U58" s="3">
        <f t="shared" si="25"/>
        <v>8663.0877</v>
      </c>
      <c r="V58" s="3">
        <f t="shared" si="26"/>
        <v>6926.0877</v>
      </c>
      <c r="W58" s="3">
        <f t="shared" si="27"/>
        <v>3785.0877000000005</v>
      </c>
      <c r="X58" s="3">
        <f t="shared" si="28"/>
        <v>7530.0877</v>
      </c>
      <c r="Y58" s="3">
        <f t="shared" si="29"/>
        <v>6011.0877</v>
      </c>
      <c r="Z58" s="3">
        <f t="shared" si="30"/>
        <v>3327.0877000000005</v>
      </c>
      <c r="AA58" s="3" t="str">
        <f t="shared" si="13"/>
        <v>old</v>
      </c>
      <c r="AB58" s="49"/>
      <c r="AC58" s="49"/>
      <c r="AD58" s="49"/>
      <c r="AE58" t="s">
        <v>872</v>
      </c>
      <c r="AI58" t="str">
        <f t="shared" si="14"/>
        <v>MADAGASCAR (USD)</v>
      </c>
      <c r="AJ58" t="str">
        <f t="shared" si="15"/>
        <v>10171 8122 4471 </v>
      </c>
      <c r="AK58">
        <v>10171</v>
      </c>
      <c r="AL58">
        <v>8122</v>
      </c>
      <c r="AM58">
        <v>4471</v>
      </c>
      <c r="AO58" t="s">
        <v>765</v>
      </c>
      <c r="AS58" t="str">
        <f t="shared" si="16"/>
        <v>MADAGASCAR (USD)</v>
      </c>
      <c r="AT58" t="str">
        <f t="shared" si="17"/>
        <v>8663 6926 3785 </v>
      </c>
      <c r="AU58">
        <v>8663</v>
      </c>
      <c r="AV58">
        <v>6926</v>
      </c>
      <c r="AW58">
        <v>3785</v>
      </c>
      <c r="AY58" t="s">
        <v>648</v>
      </c>
      <c r="BC58" t="str">
        <f t="shared" si="18"/>
        <v>MADAGASCAR (USD)</v>
      </c>
      <c r="BD58" t="str">
        <f t="shared" si="19"/>
        <v>7530 6011 3327 </v>
      </c>
      <c r="BE58">
        <v>7530</v>
      </c>
      <c r="BF58">
        <v>6011</v>
      </c>
      <c r="BG58">
        <v>3327</v>
      </c>
      <c r="BJ58" t="str">
        <f t="shared" si="31"/>
        <v>MADAGASCAR                    7530     6011     3327</v>
      </c>
    </row>
    <row r="59" spans="1:62" ht="12.75">
      <c r="A59" t="s">
        <v>816</v>
      </c>
      <c r="B59">
        <v>8</v>
      </c>
      <c r="C59" t="s">
        <v>815</v>
      </c>
      <c r="D59">
        <v>51225</v>
      </c>
      <c r="E59">
        <v>35930</v>
      </c>
      <c r="F59">
        <v>16080</v>
      </c>
      <c r="G59">
        <v>43646</v>
      </c>
      <c r="H59">
        <v>30400</v>
      </c>
      <c r="I59">
        <v>13910</v>
      </c>
      <c r="J59">
        <v>37942</v>
      </c>
      <c r="K59">
        <v>26870</v>
      </c>
      <c r="L59">
        <v>11990</v>
      </c>
      <c r="M59" t="str">
        <f t="shared" si="20"/>
        <v>MYR</v>
      </c>
      <c r="N59">
        <v>39563</v>
      </c>
      <c r="O59">
        <f t="shared" si="21"/>
        <v>41</v>
      </c>
      <c r="P59" s="3">
        <f>HLOOKUP(STclid,$R$7:$Z$104,ROWS($X$10:X59)+3,FALSE)</f>
        <v>13711.8781730131</v>
      </c>
      <c r="Q59" t="str">
        <f t="shared" si="12"/>
        <v>Malaysia</v>
      </c>
      <c r="R59" s="3">
        <f t="shared" si="22"/>
        <v>16092.890393804153</v>
      </c>
      <c r="S59" s="3">
        <f t="shared" si="23"/>
        <v>11287.826148257358</v>
      </c>
      <c r="T59" s="3">
        <f t="shared" si="24"/>
        <v>5051.766960672929</v>
      </c>
      <c r="U59" s="3">
        <f t="shared" si="25"/>
        <v>13711.8781730131</v>
      </c>
      <c r="V59" s="3">
        <f t="shared" si="26"/>
        <v>9550.526032018472</v>
      </c>
      <c r="W59" s="3">
        <f t="shared" si="27"/>
        <v>4370.0415986045045</v>
      </c>
      <c r="X59" s="3">
        <f t="shared" si="28"/>
        <v>11919.91436414753</v>
      </c>
      <c r="Y59" s="3">
        <f t="shared" si="29"/>
        <v>8441.544221833432</v>
      </c>
      <c r="Z59" s="3">
        <f t="shared" si="30"/>
        <v>3766.856024792812</v>
      </c>
      <c r="AA59" s="3">
        <f t="shared" si="13"/>
        <v>39563</v>
      </c>
      <c r="AB59" s="49"/>
      <c r="AC59" s="49"/>
      <c r="AD59" s="49"/>
      <c r="AE59" t="s">
        <v>873</v>
      </c>
      <c r="AI59" t="str">
        <f t="shared" si="14"/>
        <v>MALAYSIA (MYR)</v>
      </c>
      <c r="AJ59" t="str">
        <f t="shared" si="15"/>
        <v>35480 24670 14010 </v>
      </c>
      <c r="AK59">
        <v>35480</v>
      </c>
      <c r="AL59">
        <v>24670</v>
      </c>
      <c r="AM59">
        <v>14010</v>
      </c>
      <c r="AO59" t="s">
        <v>766</v>
      </c>
      <c r="AS59" t="str">
        <f t="shared" si="16"/>
        <v>MALAYSIA (MYR)</v>
      </c>
      <c r="AT59" t="str">
        <f t="shared" si="17"/>
        <v>30230 21020 11930 </v>
      </c>
      <c r="AU59">
        <v>30230</v>
      </c>
      <c r="AV59">
        <v>21020</v>
      </c>
      <c r="AW59">
        <v>11930</v>
      </c>
      <c r="AY59" t="s">
        <v>649</v>
      </c>
      <c r="BC59" t="str">
        <f t="shared" si="18"/>
        <v>MALAYSIA (MYR)</v>
      </c>
      <c r="BD59" t="str">
        <f t="shared" si="19"/>
        <v>26280 18270 10380 </v>
      </c>
      <c r="BE59">
        <v>26280</v>
      </c>
      <c r="BF59">
        <v>18270</v>
      </c>
      <c r="BG59">
        <v>10380</v>
      </c>
      <c r="BJ59" t="str">
        <f t="shared" si="31"/>
        <v>MALAYSIA                      11920     8442     3767</v>
      </c>
    </row>
    <row r="60" spans="1:62" ht="12.75">
      <c r="A60" t="s">
        <v>817</v>
      </c>
      <c r="B60">
        <v>52</v>
      </c>
      <c r="C60" t="s">
        <v>816</v>
      </c>
      <c r="D60">
        <v>3820</v>
      </c>
      <c r="E60">
        <v>2537</v>
      </c>
      <c r="F60">
        <v>1267</v>
      </c>
      <c r="G60">
        <v>3254</v>
      </c>
      <c r="H60">
        <v>2161</v>
      </c>
      <c r="I60">
        <v>1079</v>
      </c>
      <c r="J60">
        <v>2829</v>
      </c>
      <c r="K60">
        <v>1879</v>
      </c>
      <c r="L60">
        <v>939</v>
      </c>
      <c r="M60" t="str">
        <f t="shared" si="20"/>
        <v>MTL</v>
      </c>
      <c r="N60" t="s">
        <v>493</v>
      </c>
      <c r="O60">
        <f t="shared" si="21"/>
        <v>94</v>
      </c>
      <c r="P60" s="3">
        <f>HLOOKUP(STclid,$R$7:$Z$104,ROWS($X$10:X60)+3,FALSE)</f>
        <v>5061.528128421216</v>
      </c>
      <c r="Q60" t="str">
        <f t="shared" si="12"/>
        <v>Malta</v>
      </c>
      <c r="R60" s="3">
        <f t="shared" si="22"/>
        <v>5941.91388048219</v>
      </c>
      <c r="S60" s="3">
        <f t="shared" si="23"/>
        <v>3946.269145686732</v>
      </c>
      <c r="T60" s="3">
        <f t="shared" si="24"/>
        <v>1970.8452850552185</v>
      </c>
      <c r="U60" s="3">
        <f t="shared" si="25"/>
        <v>5061.528128421216</v>
      </c>
      <c r="V60" s="3">
        <f t="shared" si="26"/>
        <v>3361.4192467911025</v>
      </c>
      <c r="W60" s="3">
        <f t="shared" si="27"/>
        <v>1678.4203356074038</v>
      </c>
      <c r="X60" s="3">
        <f t="shared" si="28"/>
        <v>4400.461088446103</v>
      </c>
      <c r="Y60" s="3">
        <f t="shared" si="29"/>
        <v>2922.781822619381</v>
      </c>
      <c r="Z60" s="3">
        <f t="shared" si="30"/>
        <v>1460.6570753803078</v>
      </c>
      <c r="AA60" s="3" t="str">
        <f t="shared" si="13"/>
        <v>old</v>
      </c>
      <c r="AB60" s="49"/>
      <c r="AC60" s="49"/>
      <c r="AD60" s="49"/>
      <c r="AE60" t="s">
        <v>874</v>
      </c>
      <c r="AI60" t="str">
        <f t="shared" si="14"/>
        <v>MALTA (MTL)</v>
      </c>
      <c r="AJ60" t="str">
        <f t="shared" si="15"/>
        <v>3820 2537 1267 </v>
      </c>
      <c r="AK60">
        <v>3820</v>
      </c>
      <c r="AL60">
        <v>2537</v>
      </c>
      <c r="AM60">
        <v>1267</v>
      </c>
      <c r="AO60" t="s">
        <v>767</v>
      </c>
      <c r="AS60" t="str">
        <f t="shared" si="16"/>
        <v>MALTA (MTL)</v>
      </c>
      <c r="AT60" t="str">
        <f t="shared" si="17"/>
        <v>3254 2161 1079 </v>
      </c>
      <c r="AU60">
        <v>3254</v>
      </c>
      <c r="AV60">
        <v>2161</v>
      </c>
      <c r="AW60">
        <v>1079</v>
      </c>
      <c r="AY60" t="s">
        <v>653</v>
      </c>
      <c r="BC60" t="str">
        <f t="shared" si="18"/>
        <v>MALTA (MTL)</v>
      </c>
      <c r="BD60" t="str">
        <f t="shared" si="19"/>
        <v>2829 1879 939 </v>
      </c>
      <c r="BE60">
        <v>2829</v>
      </c>
      <c r="BF60">
        <v>1879</v>
      </c>
      <c r="BG60">
        <v>939</v>
      </c>
      <c r="BJ60" t="str">
        <f t="shared" si="31"/>
        <v>MALTA                         4400     2923     1461</v>
      </c>
    </row>
    <row r="61" spans="1:62" ht="12.75">
      <c r="A61" t="s">
        <v>818</v>
      </c>
      <c r="B61">
        <v>7</v>
      </c>
      <c r="C61" t="s">
        <v>817</v>
      </c>
      <c r="D61">
        <v>9099</v>
      </c>
      <c r="E61">
        <v>6031</v>
      </c>
      <c r="F61">
        <v>3171</v>
      </c>
      <c r="G61">
        <v>7747</v>
      </c>
      <c r="H61">
        <v>5147</v>
      </c>
      <c r="I61">
        <v>2703</v>
      </c>
      <c r="J61">
        <v>6759</v>
      </c>
      <c r="K61">
        <v>4471</v>
      </c>
      <c r="L61">
        <v>2339</v>
      </c>
      <c r="M61" t="str">
        <f t="shared" si="20"/>
        <v>EUR</v>
      </c>
      <c r="N61" t="s">
        <v>493</v>
      </c>
      <c r="O61">
        <f t="shared" si="21"/>
        <v>48</v>
      </c>
      <c r="P61" s="3">
        <f>HLOOKUP(STclid,$R$7:$Z$104,ROWS($X$10:X61)+3,FALSE)</f>
        <v>12050.17338985223</v>
      </c>
      <c r="Q61" t="str">
        <f t="shared" si="12"/>
        <v>Martinique</v>
      </c>
      <c r="R61" s="3">
        <f t="shared" si="22"/>
        <v>14153.144302902472</v>
      </c>
      <c r="S61" s="3">
        <f t="shared" si="23"/>
        <v>9381.018000211541</v>
      </c>
      <c r="T61" s="3">
        <f t="shared" si="24"/>
        <v>4932.425684143724</v>
      </c>
      <c r="U61" s="3">
        <f t="shared" si="25"/>
        <v>12050.17338985223</v>
      </c>
      <c r="V61" s="3">
        <f t="shared" si="26"/>
        <v>8005.998557063306</v>
      </c>
      <c r="W61" s="3">
        <f t="shared" si="27"/>
        <v>4204.474214241717</v>
      </c>
      <c r="X61" s="3">
        <f t="shared" si="28"/>
        <v>10513.386953392439</v>
      </c>
      <c r="Y61" s="3">
        <f t="shared" si="29"/>
        <v>6954.513100538185</v>
      </c>
      <c r="Z61" s="3">
        <f t="shared" si="30"/>
        <v>3638.2897376512674</v>
      </c>
      <c r="AA61" s="3" t="str">
        <f t="shared" si="13"/>
        <v>old</v>
      </c>
      <c r="AB61" s="49"/>
      <c r="AC61" s="49"/>
      <c r="AD61" s="49"/>
      <c r="AE61" t="s">
        <v>875</v>
      </c>
      <c r="AI61" t="str">
        <f t="shared" si="14"/>
        <v>MARTINIQUE (EUR)</v>
      </c>
      <c r="AJ61" t="str">
        <f t="shared" si="15"/>
        <v>9099 6031 3171 </v>
      </c>
      <c r="AK61">
        <v>9099</v>
      </c>
      <c r="AL61">
        <v>6031</v>
      </c>
      <c r="AM61">
        <v>3171</v>
      </c>
      <c r="AO61" t="s">
        <v>768</v>
      </c>
      <c r="AS61" t="str">
        <f t="shared" si="16"/>
        <v>MARTINIQUE (EUR)</v>
      </c>
      <c r="AT61" t="str">
        <f t="shared" si="17"/>
        <v>7747 5147 2703 </v>
      </c>
      <c r="AU61">
        <v>7747</v>
      </c>
      <c r="AV61">
        <v>5147</v>
      </c>
      <c r="AW61">
        <v>2703</v>
      </c>
      <c r="AY61" t="s">
        <v>654</v>
      </c>
      <c r="BC61" t="str">
        <f t="shared" si="18"/>
        <v>MARTINIQUE (EUR)</v>
      </c>
      <c r="BD61" t="str">
        <f t="shared" si="19"/>
        <v>6759 4471 2339 </v>
      </c>
      <c r="BE61">
        <v>6759</v>
      </c>
      <c r="BF61">
        <v>4471</v>
      </c>
      <c r="BG61">
        <v>2339</v>
      </c>
      <c r="BJ61" t="str">
        <f t="shared" si="31"/>
        <v>MARTINIQUE                    10513     6955     3638</v>
      </c>
    </row>
    <row r="62" spans="1:62" ht="12.75">
      <c r="A62" t="s">
        <v>819</v>
      </c>
      <c r="B62">
        <v>14</v>
      </c>
      <c r="C62" t="s">
        <v>818</v>
      </c>
      <c r="D62">
        <v>296295</v>
      </c>
      <c r="E62">
        <v>236615</v>
      </c>
      <c r="G62">
        <v>252365</v>
      </c>
      <c r="H62">
        <v>201775</v>
      </c>
      <c r="J62">
        <v>219345</v>
      </c>
      <c r="K62">
        <v>175110</v>
      </c>
      <c r="L62">
        <v>96920</v>
      </c>
      <c r="M62" t="str">
        <f t="shared" si="20"/>
        <v>MUR</v>
      </c>
      <c r="N62">
        <v>39563</v>
      </c>
      <c r="O62">
        <f t="shared" si="21"/>
        <v>67</v>
      </c>
      <c r="P62" s="3">
        <f>HLOOKUP(STclid,$R$7:$Z$104,ROWS($X$10:X62)+3,FALSE)</f>
        <v>9535.169292148335</v>
      </c>
      <c r="Q62" t="str">
        <f t="shared" si="12"/>
        <v>Mauritius</v>
      </c>
      <c r="R62" s="3">
        <f t="shared" si="22"/>
        <v>11194.972065413156</v>
      </c>
      <c r="S62" s="3">
        <f t="shared" si="23"/>
        <v>8940.088625657989</v>
      </c>
      <c r="T62" s="3">
        <f t="shared" si="24"/>
        <v>0.08787</v>
      </c>
      <c r="U62" s="3">
        <f t="shared" si="25"/>
        <v>9535.169292148335</v>
      </c>
      <c r="V62" s="3">
        <f t="shared" si="26"/>
        <v>7623.732408481883</v>
      </c>
      <c r="W62" s="3">
        <f t="shared" si="27"/>
        <v>0.08787</v>
      </c>
      <c r="X62" s="3">
        <f t="shared" si="28"/>
        <v>8287.577951988891</v>
      </c>
      <c r="Y62" s="3">
        <f t="shared" si="29"/>
        <v>6616.251394388862</v>
      </c>
      <c r="Z62" s="3">
        <f t="shared" si="30"/>
        <v>3662.0064856345643</v>
      </c>
      <c r="AA62" s="3">
        <f t="shared" si="13"/>
        <v>39563</v>
      </c>
      <c r="AB62" s="49"/>
      <c r="AC62" s="49"/>
      <c r="AD62" s="49"/>
      <c r="AE62" t="s">
        <v>876</v>
      </c>
      <c r="AI62" t="str">
        <f t="shared" si="14"/>
        <v>MAURITIUS (MUR)</v>
      </c>
      <c r="AJ62" t="str">
        <f t="shared" si="15"/>
        <v>296295 236615 130240 </v>
      </c>
      <c r="AK62">
        <v>296295</v>
      </c>
      <c r="AL62">
        <v>236615</v>
      </c>
      <c r="AM62">
        <v>130240</v>
      </c>
      <c r="AO62" t="s">
        <v>769</v>
      </c>
      <c r="AS62" t="str">
        <f t="shared" si="16"/>
        <v>MAURITIUS (MUR)</v>
      </c>
      <c r="AT62" t="str">
        <f t="shared" si="17"/>
        <v>252365 201775 110250 </v>
      </c>
      <c r="AU62">
        <v>252365</v>
      </c>
      <c r="AV62">
        <v>201775</v>
      </c>
      <c r="AW62">
        <v>110250</v>
      </c>
      <c r="AY62" t="s">
        <v>655</v>
      </c>
      <c r="BC62" t="str">
        <f t="shared" si="18"/>
        <v>MAURITIUS (MUR)</v>
      </c>
      <c r="BD62" t="str">
        <f t="shared" si="19"/>
        <v>219345 175110 96920 </v>
      </c>
      <c r="BE62">
        <v>219345</v>
      </c>
      <c r="BF62">
        <v>175110</v>
      </c>
      <c r="BG62">
        <v>96920</v>
      </c>
      <c r="BJ62" t="str">
        <f t="shared" si="31"/>
        <v>MAURITIUS                     8288     6616     3662</v>
      </c>
    </row>
    <row r="63" spans="1:62" ht="12.75">
      <c r="A63" t="s">
        <v>820</v>
      </c>
      <c r="B63">
        <v>17</v>
      </c>
      <c r="C63" t="s">
        <v>819</v>
      </c>
      <c r="D63">
        <v>11210</v>
      </c>
      <c r="E63">
        <v>8910</v>
      </c>
      <c r="F63">
        <v>4990</v>
      </c>
      <c r="G63">
        <v>9550</v>
      </c>
      <c r="H63">
        <v>7590</v>
      </c>
      <c r="I63">
        <v>4250</v>
      </c>
      <c r="J63">
        <v>8300</v>
      </c>
      <c r="K63">
        <v>6600</v>
      </c>
      <c r="L63">
        <v>3700</v>
      </c>
      <c r="M63" t="str">
        <f t="shared" si="20"/>
        <v>USD</v>
      </c>
      <c r="N63" t="s">
        <v>493</v>
      </c>
      <c r="O63">
        <f t="shared" si="21"/>
        <v>63</v>
      </c>
      <c r="P63" s="3">
        <f>HLOOKUP(STclid,$R$7:$Z$104,ROWS($X$10:X63)+3,FALSE)</f>
        <v>9550.0883</v>
      </c>
      <c r="Q63" t="str">
        <f t="shared" si="12"/>
        <v>Mexico</v>
      </c>
      <c r="R63" s="3">
        <f t="shared" si="22"/>
        <v>11210.0883</v>
      </c>
      <c r="S63" s="3">
        <f t="shared" si="23"/>
        <v>8910.0883</v>
      </c>
      <c r="T63" s="3">
        <f t="shared" si="24"/>
        <v>4990.0883</v>
      </c>
      <c r="U63" s="3">
        <f t="shared" si="25"/>
        <v>9550.0883</v>
      </c>
      <c r="V63" s="3">
        <f t="shared" si="26"/>
        <v>7590.0883</v>
      </c>
      <c r="W63" s="3">
        <f t="shared" si="27"/>
        <v>4250.0883</v>
      </c>
      <c r="X63" s="3">
        <f t="shared" si="28"/>
        <v>8300.0883</v>
      </c>
      <c r="Y63" s="3">
        <f t="shared" si="29"/>
        <v>6600.0883</v>
      </c>
      <c r="Z63" s="3">
        <f t="shared" si="30"/>
        <v>3700.0883000000003</v>
      </c>
      <c r="AA63" s="3" t="str">
        <f t="shared" si="13"/>
        <v>old</v>
      </c>
      <c r="AB63" s="49"/>
      <c r="AC63" s="49"/>
      <c r="AD63" s="49"/>
      <c r="AE63" t="s">
        <v>877</v>
      </c>
      <c r="AI63" t="str">
        <f t="shared" si="14"/>
        <v>MEXICO (USD)</v>
      </c>
      <c r="AJ63" t="str">
        <f t="shared" si="15"/>
        <v>11210 8910 4990 </v>
      </c>
      <c r="AK63">
        <v>11210</v>
      </c>
      <c r="AL63">
        <v>8910</v>
      </c>
      <c r="AM63">
        <v>4990</v>
      </c>
      <c r="AO63" t="s">
        <v>770</v>
      </c>
      <c r="AS63" t="str">
        <f t="shared" si="16"/>
        <v>MEXICO (USD)</v>
      </c>
      <c r="AT63" t="str">
        <f t="shared" si="17"/>
        <v>9550 7590 4250 </v>
      </c>
      <c r="AU63">
        <v>9550</v>
      </c>
      <c r="AV63">
        <v>7590</v>
      </c>
      <c r="AW63">
        <v>4250</v>
      </c>
      <c r="AY63" t="s">
        <v>656</v>
      </c>
      <c r="BC63" t="str">
        <f t="shared" si="18"/>
        <v>MEXICO (USD)</v>
      </c>
      <c r="BD63" t="str">
        <f t="shared" si="19"/>
        <v>8300 6600 3700 </v>
      </c>
      <c r="BE63">
        <v>8300</v>
      </c>
      <c r="BF63">
        <v>6600</v>
      </c>
      <c r="BG63">
        <v>3700</v>
      </c>
      <c r="BJ63" t="str">
        <f t="shared" si="31"/>
        <v>MEXICO                        8300     6600     3700</v>
      </c>
    </row>
    <row r="64" spans="1:62" ht="12.75">
      <c r="A64" t="s">
        <v>821</v>
      </c>
      <c r="B64">
        <v>19</v>
      </c>
      <c r="C64" t="s">
        <v>820</v>
      </c>
      <c r="D64">
        <v>120845</v>
      </c>
      <c r="E64">
        <v>96505</v>
      </c>
      <c r="F64">
        <v>53125</v>
      </c>
      <c r="G64">
        <v>102930</v>
      </c>
      <c r="H64">
        <v>82300</v>
      </c>
      <c r="I64">
        <v>44965</v>
      </c>
      <c r="J64">
        <v>89465</v>
      </c>
      <c r="K64">
        <v>71425</v>
      </c>
      <c r="L64">
        <v>39535</v>
      </c>
      <c r="M64" t="str">
        <f t="shared" si="20"/>
        <v>MAD</v>
      </c>
      <c r="N64" t="s">
        <v>493</v>
      </c>
      <c r="O64">
        <f t="shared" si="21"/>
        <v>39</v>
      </c>
      <c r="P64" s="3">
        <f>HLOOKUP(STclid,$R$7:$Z$104,ROWS($X$10:X64)+3,FALSE)</f>
        <v>13882.534211946482</v>
      </c>
      <c r="Q64" t="str">
        <f t="shared" si="12"/>
        <v>Morocco</v>
      </c>
      <c r="R64" s="3">
        <f t="shared" si="22"/>
        <v>16298.778277548552</v>
      </c>
      <c r="S64" s="3">
        <f t="shared" si="23"/>
        <v>13015.977241726368</v>
      </c>
      <c r="T64" s="3">
        <f t="shared" si="24"/>
        <v>7165.200375088477</v>
      </c>
      <c r="U64" s="3">
        <f t="shared" si="25"/>
        <v>13882.534211946482</v>
      </c>
      <c r="V64" s="3">
        <f t="shared" si="26"/>
        <v>11100.11081962883</v>
      </c>
      <c r="W64" s="3">
        <f t="shared" si="27"/>
        <v>6064.6393047388865</v>
      </c>
      <c r="X64" s="3">
        <f t="shared" si="28"/>
        <v>12066.473573189469</v>
      </c>
      <c r="Y64" s="3">
        <f t="shared" si="29"/>
        <v>9633.37042256366</v>
      </c>
      <c r="Z64" s="3">
        <f t="shared" si="30"/>
        <v>5332.280651307726</v>
      </c>
      <c r="AA64" s="3" t="str">
        <f t="shared" si="13"/>
        <v>old</v>
      </c>
      <c r="AB64" s="49"/>
      <c r="AC64" s="49"/>
      <c r="AD64" s="49"/>
      <c r="AE64" t="s">
        <v>878</v>
      </c>
      <c r="AI64" t="str">
        <f t="shared" si="14"/>
        <v>MOROCCO (MAD)</v>
      </c>
      <c r="AJ64" t="str">
        <f t="shared" si="15"/>
        <v>120845 96505 53125 </v>
      </c>
      <c r="AK64">
        <v>120845</v>
      </c>
      <c r="AL64">
        <v>96505</v>
      </c>
      <c r="AM64">
        <v>53125</v>
      </c>
      <c r="AO64" t="s">
        <v>771</v>
      </c>
      <c r="AS64" t="str">
        <f t="shared" si="16"/>
        <v>MOROCCO (MAD)</v>
      </c>
      <c r="AT64" t="str">
        <f t="shared" si="17"/>
        <v>102930 82300 44965 </v>
      </c>
      <c r="AU64">
        <v>102930</v>
      </c>
      <c r="AV64">
        <v>82300</v>
      </c>
      <c r="AW64">
        <v>44965</v>
      </c>
      <c r="AY64" t="s">
        <v>657</v>
      </c>
      <c r="BC64" t="str">
        <f t="shared" si="18"/>
        <v>MOROCCO (MAD)</v>
      </c>
      <c r="BD64" t="str">
        <f t="shared" si="19"/>
        <v>89465 71425 39535 </v>
      </c>
      <c r="BE64">
        <v>89465</v>
      </c>
      <c r="BF64">
        <v>71425</v>
      </c>
      <c r="BG64">
        <v>39535</v>
      </c>
      <c r="BJ64" t="str">
        <f t="shared" si="31"/>
        <v>MOROCCO                       12066     9633     5332</v>
      </c>
    </row>
    <row r="65" spans="1:62" ht="12.75">
      <c r="A65" t="s">
        <v>822</v>
      </c>
      <c r="B65">
        <v>21</v>
      </c>
      <c r="C65" t="s">
        <v>821</v>
      </c>
      <c r="D65">
        <v>9330</v>
      </c>
      <c r="E65">
        <v>5721</v>
      </c>
      <c r="F65">
        <v>3301</v>
      </c>
      <c r="G65">
        <v>7948</v>
      </c>
      <c r="H65">
        <v>4873</v>
      </c>
      <c r="I65">
        <v>2812</v>
      </c>
      <c r="J65">
        <v>6911</v>
      </c>
      <c r="K65">
        <v>4237</v>
      </c>
      <c r="L65">
        <v>2445</v>
      </c>
      <c r="M65" t="str">
        <f t="shared" si="20"/>
        <v>USD</v>
      </c>
      <c r="N65" t="s">
        <v>493</v>
      </c>
      <c r="O65">
        <f t="shared" si="21"/>
        <v>85</v>
      </c>
      <c r="P65" s="3">
        <f>HLOOKUP(STclid,$R$7:$Z$104,ROWS($X$10:X65)+3,FALSE)</f>
        <v>7948.089220000001</v>
      </c>
      <c r="Q65" t="str">
        <f t="shared" si="12"/>
        <v>Nepal</v>
      </c>
      <c r="R65" s="3">
        <f t="shared" si="22"/>
        <v>9330.08922</v>
      </c>
      <c r="S65" s="3">
        <f t="shared" si="23"/>
        <v>5721.089220000001</v>
      </c>
      <c r="T65" s="3">
        <f t="shared" si="24"/>
        <v>3301.08922</v>
      </c>
      <c r="U65" s="3">
        <f t="shared" si="25"/>
        <v>7948.089220000001</v>
      </c>
      <c r="V65" s="3">
        <f t="shared" si="26"/>
        <v>4873.089220000001</v>
      </c>
      <c r="W65" s="3">
        <f t="shared" si="27"/>
        <v>2812.08922</v>
      </c>
      <c r="X65" s="3">
        <f t="shared" si="28"/>
        <v>6911.089220000001</v>
      </c>
      <c r="Y65" s="3">
        <f t="shared" si="29"/>
        <v>4237.089220000001</v>
      </c>
      <c r="Z65" s="3">
        <f t="shared" si="30"/>
        <v>2445.08922</v>
      </c>
      <c r="AA65" s="3" t="str">
        <f t="shared" si="13"/>
        <v>old</v>
      </c>
      <c r="AB65" s="49"/>
      <c r="AC65" s="49"/>
      <c r="AD65" s="49"/>
      <c r="AE65" t="s">
        <v>879</v>
      </c>
      <c r="AI65" t="str">
        <f t="shared" si="14"/>
        <v>NEPAL (USD)</v>
      </c>
      <c r="AJ65" t="str">
        <f t="shared" si="15"/>
        <v>9330 5721 3301 </v>
      </c>
      <c r="AK65">
        <v>9330</v>
      </c>
      <c r="AL65">
        <v>5721</v>
      </c>
      <c r="AM65">
        <v>3301</v>
      </c>
      <c r="AO65" t="s">
        <v>772</v>
      </c>
      <c r="AS65" t="str">
        <f t="shared" si="16"/>
        <v>NEPAL (USD)</v>
      </c>
      <c r="AT65" t="str">
        <f t="shared" si="17"/>
        <v>7948 4873 2812 </v>
      </c>
      <c r="AU65">
        <v>7948</v>
      </c>
      <c r="AV65">
        <v>4873</v>
      </c>
      <c r="AW65">
        <v>2812</v>
      </c>
      <c r="AY65" t="s">
        <v>658</v>
      </c>
      <c r="BC65" t="str">
        <f t="shared" si="18"/>
        <v>NEPAL (USD)</v>
      </c>
      <c r="BD65" t="str">
        <f t="shared" si="19"/>
        <v>6911 4237 2445 </v>
      </c>
      <c r="BE65">
        <v>6911</v>
      </c>
      <c r="BF65">
        <v>4237</v>
      </c>
      <c r="BG65">
        <v>2445</v>
      </c>
      <c r="BJ65" t="str">
        <f t="shared" si="31"/>
        <v>NEPAL                         6911     4237     2445</v>
      </c>
    </row>
    <row r="66" spans="1:62" ht="12.75">
      <c r="A66" t="s">
        <v>823</v>
      </c>
      <c r="B66">
        <v>28</v>
      </c>
      <c r="C66" t="s">
        <v>822</v>
      </c>
      <c r="D66">
        <v>14293</v>
      </c>
      <c r="E66">
        <v>7749</v>
      </c>
      <c r="F66">
        <v>3569</v>
      </c>
      <c r="G66">
        <v>12127</v>
      </c>
      <c r="H66">
        <v>6559</v>
      </c>
      <c r="I66">
        <v>3049</v>
      </c>
      <c r="J66">
        <v>10539</v>
      </c>
      <c r="K66">
        <v>5669</v>
      </c>
      <c r="L66">
        <v>2519</v>
      </c>
      <c r="M66" t="str">
        <f t="shared" si="20"/>
        <v>EUR</v>
      </c>
      <c r="N66">
        <v>39563</v>
      </c>
      <c r="O66">
        <f t="shared" si="21"/>
        <v>7</v>
      </c>
      <c r="P66" s="3">
        <f>HLOOKUP(STclid,$R$7:$Z$104,ROWS($X$10:X66)+3,FALSE)</f>
        <v>18863.053951242804</v>
      </c>
      <c r="Q66" t="str">
        <f t="shared" si="12"/>
        <v>Netherlands</v>
      </c>
      <c r="R66" s="3">
        <f t="shared" si="22"/>
        <v>22232.16267732773</v>
      </c>
      <c r="S66" s="3">
        <f t="shared" si="23"/>
        <v>12053.28571356976</v>
      </c>
      <c r="T66" s="3">
        <f t="shared" si="24"/>
        <v>5551.496943932182</v>
      </c>
      <c r="U66" s="3">
        <f t="shared" si="25"/>
        <v>18863.053951242804</v>
      </c>
      <c r="V66" s="3">
        <f t="shared" si="26"/>
        <v>10202.298001639443</v>
      </c>
      <c r="W66" s="3">
        <f t="shared" si="27"/>
        <v>4742.661977374398</v>
      </c>
      <c r="X66" s="3">
        <f t="shared" si="28"/>
        <v>16392.996399524032</v>
      </c>
      <c r="Y66" s="3">
        <f t="shared" si="29"/>
        <v>8817.94584733862</v>
      </c>
      <c r="Z66" s="3">
        <f t="shared" si="30"/>
        <v>3918.2724922289617</v>
      </c>
      <c r="AA66" s="3">
        <f t="shared" si="13"/>
        <v>39563</v>
      </c>
      <c r="AB66" s="49"/>
      <c r="AC66" s="49"/>
      <c r="AD66" s="49"/>
      <c r="AE66" t="s">
        <v>880</v>
      </c>
      <c r="AI66" t="str">
        <f t="shared" si="14"/>
        <v>NETHERLANDS (EUR)</v>
      </c>
      <c r="AJ66" t="str">
        <f t="shared" si="15"/>
        <v>9899 6499 3249 </v>
      </c>
      <c r="AK66">
        <v>9899</v>
      </c>
      <c r="AL66">
        <v>6499</v>
      </c>
      <c r="AM66">
        <v>3249</v>
      </c>
      <c r="AO66" t="s">
        <v>666</v>
      </c>
      <c r="AS66" t="str">
        <f t="shared" si="16"/>
        <v>NETHERLANDS (EUR)</v>
      </c>
      <c r="AT66" t="str">
        <f t="shared" si="17"/>
        <v>8399 5549 2749 </v>
      </c>
      <c r="AU66">
        <v>8399</v>
      </c>
      <c r="AV66">
        <v>5549</v>
      </c>
      <c r="AW66">
        <v>2749</v>
      </c>
      <c r="AY66" t="s">
        <v>659</v>
      </c>
      <c r="BC66" t="str">
        <f t="shared" si="18"/>
        <v>NETHERLANDS (EUR)</v>
      </c>
      <c r="BD66" t="str">
        <f t="shared" si="19"/>
        <v>7299 4799 2399 </v>
      </c>
      <c r="BE66">
        <v>7299</v>
      </c>
      <c r="BF66">
        <v>4799</v>
      </c>
      <c r="BG66">
        <v>2399</v>
      </c>
      <c r="BJ66" t="str">
        <f t="shared" si="31"/>
        <v>NETHERLANDS                   16393     8818     3918</v>
      </c>
    </row>
    <row r="67" spans="1:62" ht="12.75">
      <c r="A67" t="s">
        <v>824</v>
      </c>
      <c r="B67">
        <v>36</v>
      </c>
      <c r="C67" t="s">
        <v>823</v>
      </c>
      <c r="D67">
        <v>10171</v>
      </c>
      <c r="E67">
        <v>8122</v>
      </c>
      <c r="F67">
        <v>4471</v>
      </c>
      <c r="G67">
        <v>8663</v>
      </c>
      <c r="H67">
        <v>6926</v>
      </c>
      <c r="I67">
        <v>3785</v>
      </c>
      <c r="J67">
        <v>7530</v>
      </c>
      <c r="K67">
        <v>6011</v>
      </c>
      <c r="L67">
        <v>3327</v>
      </c>
      <c r="M67" t="str">
        <f t="shared" si="20"/>
        <v>USD</v>
      </c>
      <c r="N67" t="s">
        <v>493</v>
      </c>
      <c r="O67">
        <f t="shared" si="21"/>
        <v>78</v>
      </c>
      <c r="P67" s="3">
        <f>HLOOKUP(STclid,$R$7:$Z$104,ROWS($X$10:X67)+3,FALSE)</f>
        <v>8663.089259999999</v>
      </c>
      <c r="Q67" t="str">
        <f t="shared" si="12"/>
        <v>Neth Antilles</v>
      </c>
      <c r="R67" s="3">
        <f t="shared" si="22"/>
        <v>10171.089259999999</v>
      </c>
      <c r="S67" s="3">
        <f t="shared" si="23"/>
        <v>8122.089260000001</v>
      </c>
      <c r="T67" s="3">
        <f t="shared" si="24"/>
        <v>4471.089260000001</v>
      </c>
      <c r="U67" s="3">
        <f t="shared" si="25"/>
        <v>8663.089259999999</v>
      </c>
      <c r="V67" s="3">
        <f t="shared" si="26"/>
        <v>6926.089260000001</v>
      </c>
      <c r="W67" s="3">
        <f t="shared" si="27"/>
        <v>3785.0892599999997</v>
      </c>
      <c r="X67" s="3">
        <f t="shared" si="28"/>
        <v>7530.089260000001</v>
      </c>
      <c r="Y67" s="3">
        <f t="shared" si="29"/>
        <v>6011.089260000001</v>
      </c>
      <c r="Z67" s="3">
        <f t="shared" si="30"/>
        <v>3327.0892599999997</v>
      </c>
      <c r="AA67" s="3" t="str">
        <f t="shared" si="13"/>
        <v>old</v>
      </c>
      <c r="AB67" s="49"/>
      <c r="AC67" s="49"/>
      <c r="AD67" s="49"/>
      <c r="AE67" t="s">
        <v>881</v>
      </c>
      <c r="AI67" t="str">
        <f t="shared" si="14"/>
        <v>NETH ANTILLES (USD)</v>
      </c>
      <c r="AJ67" t="str">
        <f t="shared" si="15"/>
        <v>10171 8122 4471 </v>
      </c>
      <c r="AK67">
        <v>10171</v>
      </c>
      <c r="AL67">
        <v>8122</v>
      </c>
      <c r="AM67">
        <v>4471</v>
      </c>
      <c r="AO67" t="s">
        <v>667</v>
      </c>
      <c r="AS67" t="str">
        <f t="shared" si="16"/>
        <v>NETH ANTILLES (USD)</v>
      </c>
      <c r="AT67" t="str">
        <f t="shared" si="17"/>
        <v>8663 6926 3785 </v>
      </c>
      <c r="AU67">
        <v>8663</v>
      </c>
      <c r="AV67">
        <v>6926</v>
      </c>
      <c r="AW67">
        <v>3785</v>
      </c>
      <c r="AY67" t="s">
        <v>660</v>
      </c>
      <c r="BC67" t="str">
        <f t="shared" si="18"/>
        <v>NETH ANTILLES (USD)</v>
      </c>
      <c r="BD67" t="str">
        <f t="shared" si="19"/>
        <v>7530 6011 3327 </v>
      </c>
      <c r="BE67">
        <v>7530</v>
      </c>
      <c r="BF67">
        <v>6011</v>
      </c>
      <c r="BG67">
        <v>3327</v>
      </c>
      <c r="BJ67" t="str">
        <f t="shared" si="31"/>
        <v>NETH ANTILLES                 7530     6011     3327</v>
      </c>
    </row>
    <row r="68" spans="1:62" ht="12.75">
      <c r="A68" t="s">
        <v>825</v>
      </c>
      <c r="B68">
        <v>92</v>
      </c>
      <c r="C68" t="s">
        <v>824</v>
      </c>
      <c r="D68">
        <v>891700</v>
      </c>
      <c r="E68">
        <v>724500</v>
      </c>
      <c r="F68">
        <v>310400</v>
      </c>
      <c r="G68">
        <v>759600</v>
      </c>
      <c r="H68">
        <v>617100</v>
      </c>
      <c r="I68">
        <v>264300</v>
      </c>
      <c r="J68">
        <v>660500</v>
      </c>
      <c r="K68">
        <v>536600</v>
      </c>
      <c r="L68">
        <v>229900</v>
      </c>
      <c r="M68" t="str">
        <f t="shared" si="20"/>
        <v>XPF</v>
      </c>
      <c r="N68" t="s">
        <v>493</v>
      </c>
      <c r="O68">
        <f t="shared" si="21"/>
        <v>60</v>
      </c>
      <c r="P68" s="3">
        <f>HLOOKUP(STclid,$R$7:$Z$104,ROWS($X$10:X68)+3,FALSE)</f>
        <v>9762.205186210047</v>
      </c>
      <c r="Q68" t="str">
        <f t="shared" si="12"/>
        <v>New Caledonia</v>
      </c>
      <c r="R68" s="3">
        <f t="shared" si="22"/>
        <v>11459.908595753684</v>
      </c>
      <c r="S68" s="3">
        <f t="shared" si="23"/>
        <v>9311.112153091337</v>
      </c>
      <c r="T68" s="3">
        <f t="shared" si="24"/>
        <v>3989.2424945597663</v>
      </c>
      <c r="U68" s="3">
        <f t="shared" si="25"/>
        <v>9762.205186210047</v>
      </c>
      <c r="V68" s="3">
        <f t="shared" si="26"/>
        <v>7930.844581668273</v>
      </c>
      <c r="W68" s="3">
        <f t="shared" si="27"/>
        <v>3396.781274423796</v>
      </c>
      <c r="X68" s="3">
        <f t="shared" si="28"/>
        <v>8488.606337718189</v>
      </c>
      <c r="Y68" s="3">
        <f t="shared" si="29"/>
        <v>6896.286485769236</v>
      </c>
      <c r="Z68" s="3">
        <f t="shared" si="30"/>
        <v>2954.684398660729</v>
      </c>
      <c r="AA68" s="3" t="str">
        <f t="shared" si="13"/>
        <v>old</v>
      </c>
      <c r="AB68" s="49"/>
      <c r="AC68" s="49"/>
      <c r="AD68" s="49"/>
      <c r="AE68" t="s">
        <v>882</v>
      </c>
      <c r="AI68" t="str">
        <f t="shared" si="14"/>
        <v>NEW CALEDONIA (XPF)</v>
      </c>
      <c r="AJ68" t="str">
        <f t="shared" si="15"/>
        <v>891700 724500 310400 </v>
      </c>
      <c r="AK68">
        <v>891700</v>
      </c>
      <c r="AL68">
        <v>724500</v>
      </c>
      <c r="AM68">
        <v>310400</v>
      </c>
      <c r="AO68" t="s">
        <v>668</v>
      </c>
      <c r="AS68" t="str">
        <f t="shared" si="16"/>
        <v>NEW CALEDONIA (XPF)</v>
      </c>
      <c r="AT68" t="str">
        <f t="shared" si="17"/>
        <v>759600 617100 264300 </v>
      </c>
      <c r="AU68">
        <v>759600</v>
      </c>
      <c r="AV68">
        <v>617100</v>
      </c>
      <c r="AW68">
        <v>264300</v>
      </c>
      <c r="AY68" t="s">
        <v>661</v>
      </c>
      <c r="BC68" t="str">
        <f t="shared" si="18"/>
        <v>NEW CALEDONIA (XPF)</v>
      </c>
      <c r="BD68" t="str">
        <f t="shared" si="19"/>
        <v>660500 536600 229900 </v>
      </c>
      <c r="BE68">
        <v>660500</v>
      </c>
      <c r="BF68">
        <v>536600</v>
      </c>
      <c r="BG68">
        <v>229900</v>
      </c>
      <c r="BJ68" t="str">
        <f t="shared" si="31"/>
        <v>NEW CALEDONIA                 8489     6896     2955</v>
      </c>
    </row>
    <row r="69" spans="1:62" ht="12.75">
      <c r="A69" t="s">
        <v>826</v>
      </c>
      <c r="B69">
        <v>93</v>
      </c>
      <c r="C69" t="s">
        <v>825</v>
      </c>
      <c r="D69">
        <v>22753</v>
      </c>
      <c r="E69">
        <v>14729</v>
      </c>
      <c r="F69">
        <v>5129</v>
      </c>
      <c r="G69">
        <v>19708</v>
      </c>
      <c r="H69">
        <v>13339</v>
      </c>
      <c r="I69">
        <v>4509</v>
      </c>
      <c r="J69">
        <v>16849</v>
      </c>
      <c r="K69">
        <v>11749</v>
      </c>
      <c r="L69">
        <v>4179</v>
      </c>
      <c r="M69" t="str">
        <f t="shared" si="20"/>
        <v>NZD</v>
      </c>
      <c r="N69">
        <v>39563</v>
      </c>
      <c r="O69">
        <f t="shared" si="21"/>
        <v>37</v>
      </c>
      <c r="P69" s="3">
        <f>HLOOKUP(STclid,$R$7:$Z$104,ROWS($X$10:X69)+3,FALSE)</f>
        <v>15363.357141574683</v>
      </c>
      <c r="Q69" t="str">
        <f t="shared" si="12"/>
        <v>New Zealand</v>
      </c>
      <c r="R69" s="3">
        <f t="shared" si="22"/>
        <v>17737.070892744</v>
      </c>
      <c r="S69" s="3">
        <f t="shared" si="23"/>
        <v>11482.003851895854</v>
      </c>
      <c r="T69" s="3">
        <f t="shared" si="24"/>
        <v>3998.3742915590897</v>
      </c>
      <c r="U69" s="3">
        <f t="shared" si="25"/>
        <v>15363.357141574683</v>
      </c>
      <c r="V69" s="3">
        <f t="shared" si="26"/>
        <v>10398.43665513876</v>
      </c>
      <c r="W69" s="3">
        <f t="shared" si="27"/>
        <v>3515.056549120674</v>
      </c>
      <c r="X69" s="3">
        <f t="shared" si="28"/>
        <v>13134.63871313689</v>
      </c>
      <c r="Y69" s="3">
        <f t="shared" si="29"/>
        <v>9158.960509207984</v>
      </c>
      <c r="Z69" s="3">
        <f t="shared" si="30"/>
        <v>3257.8067829840975</v>
      </c>
      <c r="AA69" s="3">
        <f t="shared" si="13"/>
        <v>39563</v>
      </c>
      <c r="AB69" s="49"/>
      <c r="AC69" s="49"/>
      <c r="AD69" s="49"/>
      <c r="AE69" t="s">
        <v>883</v>
      </c>
      <c r="AI69" t="str">
        <f t="shared" si="14"/>
        <v>NEW ZEALAND (NZD)</v>
      </c>
      <c r="AJ69" t="str">
        <f t="shared" si="15"/>
        <v>15759 11459 4499 </v>
      </c>
      <c r="AK69">
        <v>15759</v>
      </c>
      <c r="AL69">
        <v>11459</v>
      </c>
      <c r="AM69">
        <v>4499</v>
      </c>
      <c r="AO69" t="s">
        <v>669</v>
      </c>
      <c r="AS69" t="str">
        <f t="shared" si="16"/>
        <v>NEW ZEALAND (NZD)</v>
      </c>
      <c r="AT69" t="str">
        <f t="shared" si="17"/>
        <v>13649 9759 3909 </v>
      </c>
      <c r="AU69">
        <v>13649</v>
      </c>
      <c r="AV69">
        <v>9759</v>
      </c>
      <c r="AW69">
        <v>3909</v>
      </c>
      <c r="AY69" t="s">
        <v>662</v>
      </c>
      <c r="BC69" t="str">
        <f t="shared" si="18"/>
        <v>NEW ZEALAND (NZD)</v>
      </c>
      <c r="BD69" t="str">
        <f t="shared" si="19"/>
        <v>11669 8489 3599 </v>
      </c>
      <c r="BE69">
        <v>11669</v>
      </c>
      <c r="BF69">
        <v>8489</v>
      </c>
      <c r="BG69">
        <v>3599</v>
      </c>
      <c r="BJ69" t="str">
        <f t="shared" si="31"/>
        <v>NEW ZEALAND                   13135     9159     3258</v>
      </c>
    </row>
    <row r="70" spans="1:62" ht="12.75">
      <c r="A70" t="s">
        <v>827</v>
      </c>
      <c r="B70">
        <v>31</v>
      </c>
      <c r="C70" t="s">
        <v>826</v>
      </c>
      <c r="D70">
        <v>111170</v>
      </c>
      <c r="E70">
        <v>58550</v>
      </c>
      <c r="F70">
        <v>27860</v>
      </c>
      <c r="G70">
        <v>94210</v>
      </c>
      <c r="H70">
        <v>49700</v>
      </c>
      <c r="I70">
        <v>23760</v>
      </c>
      <c r="J70">
        <v>82050</v>
      </c>
      <c r="K70">
        <v>43070</v>
      </c>
      <c r="L70">
        <v>19480</v>
      </c>
      <c r="M70" t="str">
        <f t="shared" si="20"/>
        <v>NOK</v>
      </c>
      <c r="N70">
        <v>39563</v>
      </c>
      <c r="O70">
        <f t="shared" si="21"/>
        <v>21</v>
      </c>
      <c r="P70" s="3">
        <f>HLOOKUP(STclid,$R$7:$Z$104,ROWS($X$10:X70)+3,FALSE)</f>
        <v>18444.791377498288</v>
      </c>
      <c r="Q70" t="str">
        <f t="shared" si="12"/>
        <v>Norway</v>
      </c>
      <c r="R70" s="3">
        <f t="shared" si="22"/>
        <v>21765.268304490866</v>
      </c>
      <c r="S70" s="3">
        <f t="shared" si="23"/>
        <v>11463.175385956105</v>
      </c>
      <c r="T70" s="3">
        <f t="shared" si="24"/>
        <v>5454.600097665877</v>
      </c>
      <c r="U70" s="3">
        <f t="shared" si="25"/>
        <v>18444.791377498288</v>
      </c>
      <c r="V70" s="3">
        <f t="shared" si="26"/>
        <v>9730.497272519528</v>
      </c>
      <c r="W70" s="3">
        <f t="shared" si="27"/>
        <v>4651.890463192435</v>
      </c>
      <c r="X70" s="3">
        <f t="shared" si="28"/>
        <v>16064.072071352663</v>
      </c>
      <c r="Y70" s="3">
        <f t="shared" si="29"/>
        <v>8432.457058724669</v>
      </c>
      <c r="Z70" s="3">
        <f t="shared" si="30"/>
        <v>3813.9399179372317</v>
      </c>
      <c r="AA70" s="3">
        <f t="shared" si="13"/>
        <v>39563</v>
      </c>
      <c r="AB70" s="49"/>
      <c r="AC70" s="49"/>
      <c r="AD70" s="49"/>
      <c r="AE70" t="s">
        <v>884</v>
      </c>
      <c r="AI70" t="str">
        <f t="shared" si="14"/>
        <v>NORWAY (NOK)</v>
      </c>
      <c r="AJ70" t="str">
        <f t="shared" si="15"/>
        <v>66220 43970 23660 </v>
      </c>
      <c r="AK70">
        <v>66220</v>
      </c>
      <c r="AL70">
        <v>43970</v>
      </c>
      <c r="AM70">
        <v>23660</v>
      </c>
      <c r="AO70" t="s">
        <v>670</v>
      </c>
      <c r="AS70" t="str">
        <f t="shared" si="16"/>
        <v>NORWAY (NOK)</v>
      </c>
      <c r="AT70" t="str">
        <f t="shared" si="17"/>
        <v>56410 37460 20150 </v>
      </c>
      <c r="AU70">
        <v>56410</v>
      </c>
      <c r="AV70">
        <v>37460</v>
      </c>
      <c r="AW70">
        <v>20150</v>
      </c>
      <c r="AY70" t="s">
        <v>663</v>
      </c>
      <c r="BC70" t="str">
        <f t="shared" si="18"/>
        <v>NORWAY (NOK)</v>
      </c>
      <c r="BD70" t="str">
        <f t="shared" si="19"/>
        <v>49050 32570 17530 </v>
      </c>
      <c r="BE70">
        <v>49050</v>
      </c>
      <c r="BF70">
        <v>32570</v>
      </c>
      <c r="BG70">
        <v>17530</v>
      </c>
      <c r="BJ70" t="str">
        <f t="shared" si="31"/>
        <v>NORWAY                        16064     8432     3814</v>
      </c>
    </row>
    <row r="71" spans="1:62" ht="12.75">
      <c r="A71" t="s">
        <v>828</v>
      </c>
      <c r="B71">
        <v>35</v>
      </c>
      <c r="C71" t="s">
        <v>827</v>
      </c>
      <c r="D71">
        <v>451360</v>
      </c>
      <c r="E71">
        <v>335920</v>
      </c>
      <c r="F71">
        <v>194480</v>
      </c>
      <c r="G71">
        <v>384800</v>
      </c>
      <c r="H71">
        <v>284960</v>
      </c>
      <c r="I71">
        <v>165360</v>
      </c>
      <c r="J71">
        <v>333840</v>
      </c>
      <c r="K71">
        <v>248560</v>
      </c>
      <c r="L71">
        <v>143520</v>
      </c>
      <c r="M71" t="str">
        <f t="shared" si="20"/>
        <v>PKR</v>
      </c>
      <c r="N71" t="s">
        <v>493</v>
      </c>
      <c r="O71">
        <f t="shared" si="21"/>
        <v>93</v>
      </c>
      <c r="P71" s="3">
        <f>HLOOKUP(STclid,$R$7:$Z$104,ROWS($X$10:X71)+3,FALSE)</f>
        <v>5955.5578671276635</v>
      </c>
      <c r="Q71" t="str">
        <f t="shared" si="12"/>
        <v>Pakistan</v>
      </c>
      <c r="R71" s="3">
        <f t="shared" si="22"/>
        <v>6985.692716360556</v>
      </c>
      <c r="S71" s="3">
        <f t="shared" si="23"/>
        <v>5199.052587222257</v>
      </c>
      <c r="T71" s="3">
        <f t="shared" si="24"/>
        <v>3010.0160326023592</v>
      </c>
      <c r="U71" s="3">
        <f t="shared" si="25"/>
        <v>5955.5578671276635</v>
      </c>
      <c r="V71" s="3">
        <f t="shared" si="26"/>
        <v>4410.355593278324</v>
      </c>
      <c r="W71" s="3">
        <f t="shared" si="27"/>
        <v>2559.3320360629687</v>
      </c>
      <c r="X71" s="3">
        <f t="shared" si="28"/>
        <v>5166.860873183729</v>
      </c>
      <c r="Y71" s="3">
        <f t="shared" si="29"/>
        <v>3847.000597604085</v>
      </c>
      <c r="Z71" s="3">
        <f t="shared" si="30"/>
        <v>2221.3190386584256</v>
      </c>
      <c r="AA71" s="3" t="str">
        <f t="shared" si="13"/>
        <v>old</v>
      </c>
      <c r="AB71" s="49"/>
      <c r="AC71" s="49"/>
      <c r="AD71" s="49"/>
      <c r="AE71" t="s">
        <v>885</v>
      </c>
      <c r="AI71" t="str">
        <f t="shared" si="14"/>
        <v>PAKISTAN (PKR)</v>
      </c>
      <c r="AJ71" t="str">
        <f t="shared" si="15"/>
        <v>451360 335920 194480 </v>
      </c>
      <c r="AK71">
        <v>451360</v>
      </c>
      <c r="AL71">
        <v>335920</v>
      </c>
      <c r="AM71">
        <v>194480</v>
      </c>
      <c r="AO71" t="s">
        <v>671</v>
      </c>
      <c r="AS71" t="str">
        <f t="shared" si="16"/>
        <v>PAKISTAN (PKR)</v>
      </c>
      <c r="AT71" t="str">
        <f t="shared" si="17"/>
        <v>384800 284960 165360 </v>
      </c>
      <c r="AU71">
        <v>384800</v>
      </c>
      <c r="AV71">
        <v>284960</v>
      </c>
      <c r="AW71">
        <v>165360</v>
      </c>
      <c r="AY71" t="s">
        <v>664</v>
      </c>
      <c r="BC71" t="str">
        <f t="shared" si="18"/>
        <v>PAKISTAN (PKR)</v>
      </c>
      <c r="BD71" t="str">
        <f t="shared" si="19"/>
        <v>333840 248560 143520 </v>
      </c>
      <c r="BE71">
        <v>333840</v>
      </c>
      <c r="BF71">
        <v>248560</v>
      </c>
      <c r="BG71">
        <v>143520</v>
      </c>
      <c r="BJ71" t="str">
        <f t="shared" si="31"/>
        <v>PAKISTAN                      5167     3847     2221</v>
      </c>
    </row>
    <row r="72" spans="1:62" ht="12.75">
      <c r="A72" t="s">
        <v>829</v>
      </c>
      <c r="B72">
        <v>53</v>
      </c>
      <c r="C72" t="s">
        <v>828</v>
      </c>
      <c r="D72">
        <v>10990</v>
      </c>
      <c r="E72">
        <v>8780</v>
      </c>
      <c r="F72">
        <v>3610</v>
      </c>
      <c r="G72">
        <v>9370</v>
      </c>
      <c r="H72">
        <v>7480</v>
      </c>
      <c r="I72">
        <v>3080</v>
      </c>
      <c r="J72">
        <v>8140</v>
      </c>
      <c r="K72">
        <v>6500</v>
      </c>
      <c r="L72">
        <v>2680</v>
      </c>
      <c r="M72" t="str">
        <f t="shared" si="20"/>
        <v>USD</v>
      </c>
      <c r="N72" t="s">
        <v>493</v>
      </c>
      <c r="O72">
        <f t="shared" si="21"/>
        <v>71</v>
      </c>
      <c r="P72" s="3">
        <f>HLOOKUP(STclid,$R$7:$Z$104,ROWS($X$10:X72)+3,FALSE)</f>
        <v>9370.09124</v>
      </c>
      <c r="Q72" t="str">
        <f t="shared" si="12"/>
        <v>Peru</v>
      </c>
      <c r="R72" s="3">
        <f t="shared" si="22"/>
        <v>10990.09124</v>
      </c>
      <c r="S72" s="3">
        <f t="shared" si="23"/>
        <v>8780.09124</v>
      </c>
      <c r="T72" s="3">
        <f t="shared" si="24"/>
        <v>3610.0912399999997</v>
      </c>
      <c r="U72" s="3">
        <f t="shared" si="25"/>
        <v>9370.09124</v>
      </c>
      <c r="V72" s="3">
        <f t="shared" si="26"/>
        <v>7480.091240000001</v>
      </c>
      <c r="W72" s="3">
        <f t="shared" si="27"/>
        <v>3080.0912399999997</v>
      </c>
      <c r="X72" s="3">
        <f t="shared" si="28"/>
        <v>8140.091240000001</v>
      </c>
      <c r="Y72" s="3">
        <f t="shared" si="29"/>
        <v>6500.091240000001</v>
      </c>
      <c r="Z72" s="3">
        <f t="shared" si="30"/>
        <v>2680.0912399999997</v>
      </c>
      <c r="AA72" s="3" t="str">
        <f t="shared" si="13"/>
        <v>old</v>
      </c>
      <c r="AB72" s="49"/>
      <c r="AC72" s="49"/>
      <c r="AD72" s="49"/>
      <c r="AE72" t="s">
        <v>886</v>
      </c>
      <c r="AI72" t="str">
        <f t="shared" si="14"/>
        <v>PERU (USD)</v>
      </c>
      <c r="AJ72" t="str">
        <f t="shared" si="15"/>
        <v>10990 8780 3610 </v>
      </c>
      <c r="AK72">
        <v>10990</v>
      </c>
      <c r="AL72">
        <v>8780</v>
      </c>
      <c r="AM72">
        <v>3610</v>
      </c>
      <c r="AO72" t="s">
        <v>672</v>
      </c>
      <c r="AS72" t="str">
        <f t="shared" si="16"/>
        <v>PERU (USD)</v>
      </c>
      <c r="AT72" t="str">
        <f t="shared" si="17"/>
        <v>9370 7480 3080 </v>
      </c>
      <c r="AU72">
        <v>9370</v>
      </c>
      <c r="AV72">
        <v>7480</v>
      </c>
      <c r="AW72">
        <v>3080</v>
      </c>
      <c r="AY72" t="s">
        <v>665</v>
      </c>
      <c r="BC72" t="str">
        <f t="shared" si="18"/>
        <v>PERU (USD)</v>
      </c>
      <c r="BD72" t="str">
        <f t="shared" si="19"/>
        <v>8140 6500 2680 </v>
      </c>
      <c r="BE72">
        <v>8140</v>
      </c>
      <c r="BF72">
        <v>6500</v>
      </c>
      <c r="BG72">
        <v>2680</v>
      </c>
      <c r="BJ72" t="str">
        <f t="shared" si="31"/>
        <v>PERU                          8140     6500     2680</v>
      </c>
    </row>
    <row r="73" spans="1:62" ht="12.75">
      <c r="A73" t="s">
        <v>830</v>
      </c>
      <c r="B73">
        <v>69</v>
      </c>
      <c r="C73" t="s">
        <v>829</v>
      </c>
      <c r="D73">
        <v>12689</v>
      </c>
      <c r="E73">
        <v>7695</v>
      </c>
      <c r="F73">
        <v>3899</v>
      </c>
      <c r="G73">
        <v>10812</v>
      </c>
      <c r="H73">
        <v>6551</v>
      </c>
      <c r="I73">
        <v>3319</v>
      </c>
      <c r="J73">
        <v>9398</v>
      </c>
      <c r="K73">
        <v>5679</v>
      </c>
      <c r="L73">
        <v>2889</v>
      </c>
      <c r="M73" t="str">
        <f t="shared" si="20"/>
        <v>USD</v>
      </c>
      <c r="N73">
        <v>39563</v>
      </c>
      <c r="O73">
        <f t="shared" si="21"/>
        <v>56</v>
      </c>
      <c r="P73" s="3">
        <f>HLOOKUP(STclid,$R$7:$Z$104,ROWS($X$10:X73)+3,FALSE)</f>
        <v>10812.09145</v>
      </c>
      <c r="Q73" t="str">
        <f t="shared" si="12"/>
        <v>Philippines</v>
      </c>
      <c r="R73" s="3">
        <f t="shared" si="22"/>
        <v>12689.09145</v>
      </c>
      <c r="S73" s="3">
        <f t="shared" si="23"/>
        <v>7695.09145</v>
      </c>
      <c r="T73" s="3">
        <f t="shared" si="24"/>
        <v>3899.09145</v>
      </c>
      <c r="U73" s="3">
        <f t="shared" si="25"/>
        <v>10812.09145</v>
      </c>
      <c r="V73" s="3">
        <f t="shared" si="26"/>
        <v>6551.09145</v>
      </c>
      <c r="W73" s="3">
        <f t="shared" si="27"/>
        <v>3319.09145</v>
      </c>
      <c r="X73" s="3">
        <f t="shared" si="28"/>
        <v>9398.09145</v>
      </c>
      <c r="Y73" s="3">
        <f t="shared" si="29"/>
        <v>5679.09145</v>
      </c>
      <c r="Z73" s="3">
        <f t="shared" si="30"/>
        <v>2889.09145</v>
      </c>
      <c r="AA73" s="3">
        <f t="shared" si="13"/>
        <v>39563</v>
      </c>
      <c r="AB73" s="49"/>
      <c r="AC73" s="49"/>
      <c r="AD73" s="49"/>
      <c r="AE73" t="s">
        <v>887</v>
      </c>
      <c r="AI73" t="str">
        <f t="shared" si="14"/>
        <v>PHILIPPINES (USD)</v>
      </c>
      <c r="AJ73" t="str">
        <f t="shared" si="15"/>
        <v>8789 6529 3779 </v>
      </c>
      <c r="AK73">
        <v>8789</v>
      </c>
      <c r="AL73">
        <v>6529</v>
      </c>
      <c r="AM73">
        <v>3779</v>
      </c>
      <c r="AO73" t="s">
        <v>673</v>
      </c>
      <c r="AS73" t="str">
        <f t="shared" si="16"/>
        <v>PHILIPPINES (USD)</v>
      </c>
      <c r="AT73" t="str">
        <f t="shared" si="17"/>
        <v>7489 5559 3219 </v>
      </c>
      <c r="AU73">
        <v>7489</v>
      </c>
      <c r="AV73">
        <v>5559</v>
      </c>
      <c r="AW73">
        <v>3219</v>
      </c>
      <c r="AY73" t="s">
        <v>542</v>
      </c>
      <c r="BC73" t="str">
        <f t="shared" si="18"/>
        <v>PHILIPPINES (USD)</v>
      </c>
      <c r="BD73" t="str">
        <f t="shared" si="19"/>
        <v>6509 4829 2799 </v>
      </c>
      <c r="BE73">
        <v>6509</v>
      </c>
      <c r="BF73">
        <v>4829</v>
      </c>
      <c r="BG73">
        <v>2799</v>
      </c>
      <c r="BJ73" t="str">
        <f t="shared" si="31"/>
        <v>PHILIPPINES                   9398     5679     2889</v>
      </c>
    </row>
    <row r="74" spans="1:62" ht="12.75">
      <c r="A74" t="s">
        <v>831</v>
      </c>
      <c r="B74">
        <v>16</v>
      </c>
      <c r="C74" t="s">
        <v>830</v>
      </c>
      <c r="D74">
        <v>56450.53763440861</v>
      </c>
      <c r="E74">
        <v>30171.010752688177</v>
      </c>
      <c r="F74">
        <v>13929.04147465438</v>
      </c>
      <c r="G74">
        <v>47840.543778801846</v>
      </c>
      <c r="H74">
        <v>25600.061443932416</v>
      </c>
      <c r="I74">
        <v>11890.645161290324</v>
      </c>
      <c r="J74">
        <v>41667.01689708142</v>
      </c>
      <c r="K74">
        <v>22120.374807987715</v>
      </c>
      <c r="L74">
        <v>9838.5222734255</v>
      </c>
      <c r="M74" t="str">
        <f aca="true" t="shared" si="32" ref="M74:M103">UPPER(MID(RIGHT(C74,5),2,3))</f>
        <v>PLN</v>
      </c>
      <c r="N74">
        <v>39563</v>
      </c>
      <c r="O74">
        <f aca="true" t="shared" si="33" ref="O74:O87">RANK(P74,$P$10:$P$103)</f>
        <v>4</v>
      </c>
      <c r="P74" s="3">
        <f>HLOOKUP(STclid,$R$7:$Z$104,ROWS($X$10:X74)+3,FALSE)</f>
        <v>21432.10713332042</v>
      </c>
      <c r="Q74" t="str">
        <f t="shared" si="12"/>
        <v>Poland</v>
      </c>
      <c r="R74" s="3">
        <f aca="true" t="shared" si="34" ref="R74:R103">$P$6/VLOOKUP($M74,fx,3,FALSE)*D74+CODE(LEFT($Q74))/1000+CODE(MID($Q74,2,1))/10000+CODE(MID($Q74,3,1))/100000</f>
        <v>25289.28563686256</v>
      </c>
      <c r="S74" s="3">
        <f aca="true" t="shared" si="35" ref="S74:S103">$P$6/VLOOKUP($M74,fx,3,FALSE)*E74+CODE(LEFT($Q74))/1000+CODE(MID($Q74,2,1))/10000+CODE(MID($Q74,3,1))/100000</f>
        <v>13516.358980774203</v>
      </c>
      <c r="T74" s="3">
        <f aca="true" t="shared" si="36" ref="T74:T103">$P$6/VLOOKUP($M74,fx,3,FALSE)*F74+CODE(LEFT($Q74))/1000+CODE(MID($Q74,2,1))/10000+CODE(MID($Q74,3,1))/100000</f>
        <v>6240.143015343777</v>
      </c>
      <c r="U74" s="3">
        <f aca="true" t="shared" si="37" ref="U74:U103">$P$6/VLOOKUP($M74,fx,3,FALSE)*G74+CODE(LEFT($Q74))/1000+CODE(MID($Q74,2,1))/10000+CODE(MID($Q74,3,1))/100000</f>
        <v>21432.10713332042</v>
      </c>
      <c r="V74" s="3">
        <f aca="true" t="shared" si="38" ref="V74:V103">$P$6/VLOOKUP($M74,fx,3,FALSE)*H74+CODE(LEFT($Q74))/1000+CODE(MID($Q74,2,1))/10000+CODE(MID($Q74,3,1))/100000</f>
        <v>11468.626112413052</v>
      </c>
      <c r="W74" s="3">
        <f aca="true" t="shared" si="39" ref="W74:W103">$P$6/VLOOKUP($M74,fx,3,FALSE)*I74+CODE(LEFT($Q74))/1000+CODE(MID($Q74,2,1))/10000+CODE(MID($Q74,3,1))/100000</f>
        <v>5326.964844317858</v>
      </c>
      <c r="X74" s="3">
        <f aca="true" t="shared" si="40" ref="X74:X103">$P$6/VLOOKUP($M74,fx,3,FALSE)*J74+CODE(LEFT($Q74))/1000+CODE(MID($Q74,2,1))/10000+CODE(MID($Q74,3,1))/100000</f>
        <v>18666.437891442263</v>
      </c>
      <c r="Y74" s="3">
        <f aca="true" t="shared" si="41" ref="Y74:Y103">$P$6/VLOOKUP($M74,fx,3,FALSE)*K74+CODE(LEFT($Q74))/1000+CODE(MID($Q74,2,1))/10000+CODE(MID($Q74,3,1))/100000</f>
        <v>9909.766406318302</v>
      </c>
      <c r="Z74" s="3">
        <f aca="true" t="shared" si="42" ref="Z74:Z103">$P$6/VLOOKUP($M74,fx,3,FALSE)*L74+CODE(LEFT($Q74))/1000+CODE(MID($Q74,2,1))/10000+CODE(MID($Q74,3,1))/100000</f>
        <v>4407.637325338903</v>
      </c>
      <c r="AA74" s="3">
        <f t="shared" si="13"/>
        <v>39563</v>
      </c>
      <c r="AB74" s="49"/>
      <c r="AC74" s="49"/>
      <c r="AD74" s="49"/>
      <c r="AE74" t="s">
        <v>888</v>
      </c>
      <c r="AI74" t="str">
        <f t="shared" si="14"/>
        <v>POLAND (PLN)</v>
      </c>
      <c r="AJ74" t="str">
        <f t="shared" si="15"/>
        <v>33110 22410 12370 </v>
      </c>
      <c r="AK74">
        <v>33110</v>
      </c>
      <c r="AL74">
        <v>22410</v>
      </c>
      <c r="AM74">
        <v>12370</v>
      </c>
      <c r="AO74" t="s">
        <v>674</v>
      </c>
      <c r="AS74" t="str">
        <f t="shared" si="16"/>
        <v>POLAND (PLN)</v>
      </c>
      <c r="AT74" t="str">
        <f t="shared" si="17"/>
        <v>28200 19090 10540 </v>
      </c>
      <c r="AU74">
        <v>28200</v>
      </c>
      <c r="AV74">
        <v>19090</v>
      </c>
      <c r="AW74">
        <v>10540</v>
      </c>
      <c r="AY74" t="s">
        <v>543</v>
      </c>
      <c r="BC74" t="str">
        <f t="shared" si="18"/>
        <v>POLAND (PLN)</v>
      </c>
      <c r="BD74" t="str">
        <f t="shared" si="19"/>
        <v>24520 16600 9170 </v>
      </c>
      <c r="BE74">
        <v>24520</v>
      </c>
      <c r="BF74">
        <v>16600</v>
      </c>
      <c r="BG74">
        <v>9170</v>
      </c>
      <c r="BJ74" t="str">
        <f aca="true" t="shared" si="43" ref="BJ74:BJ87">LEFT(C74,LEN(C74)-6)&amp;REPT(" ",30-LEN(C74)+6)&amp;ROUND(X74,0)&amp;"     "&amp;ROUND(Y74,0)&amp;"     "&amp;ROUND(Z74,0)</f>
        <v>POLAND                        18666     9910     4408</v>
      </c>
    </row>
    <row r="75" spans="1:62" ht="12.75">
      <c r="A75" t="s">
        <v>832</v>
      </c>
      <c r="B75">
        <v>38</v>
      </c>
      <c r="C75" t="s">
        <v>831</v>
      </c>
      <c r="D75">
        <v>979400</v>
      </c>
      <c r="E75">
        <v>753500</v>
      </c>
      <c r="F75">
        <v>322900</v>
      </c>
      <c r="G75">
        <v>842000</v>
      </c>
      <c r="H75">
        <v>641800</v>
      </c>
      <c r="I75">
        <v>274900</v>
      </c>
      <c r="J75">
        <v>739000</v>
      </c>
      <c r="K75">
        <v>558100</v>
      </c>
      <c r="L75">
        <v>239100</v>
      </c>
      <c r="M75" t="str">
        <f t="shared" si="32"/>
        <v>XPF</v>
      </c>
      <c r="N75" t="s">
        <v>493</v>
      </c>
      <c r="O75">
        <f t="shared" si="33"/>
        <v>55</v>
      </c>
      <c r="P75" s="3">
        <f>HLOOKUP(STclid,$R$7:$Z$104,ROWS($X$10:X75)+3,FALSE)</f>
        <v>10821.184313502974</v>
      </c>
      <c r="Q75" t="str">
        <f aca="true" t="shared" si="44" ref="Q75:Q103">PROPER(LEFT(C75,LEN(C75)-6))</f>
        <v>Polynesia</v>
      </c>
      <c r="R75" s="3">
        <f t="shared" si="34"/>
        <v>12587.001485882201</v>
      </c>
      <c r="S75" s="3">
        <f t="shared" si="35"/>
        <v>9683.812990682294</v>
      </c>
      <c r="T75" s="3">
        <f t="shared" si="36"/>
        <v>4149.891051624834</v>
      </c>
      <c r="U75" s="3">
        <f t="shared" si="37"/>
        <v>10821.184313502974</v>
      </c>
      <c r="V75" s="3">
        <f t="shared" si="38"/>
        <v>8248.283309788847</v>
      </c>
      <c r="W75" s="3">
        <f t="shared" si="39"/>
        <v>3533.011690094974</v>
      </c>
      <c r="X75" s="3">
        <f t="shared" si="40"/>
        <v>9497.464016886815</v>
      </c>
      <c r="Y75" s="3">
        <f t="shared" si="41"/>
        <v>7172.599923121152</v>
      </c>
      <c r="Z75" s="3">
        <f t="shared" si="42"/>
        <v>3072.922499620619</v>
      </c>
      <c r="AA75" s="3" t="str">
        <f aca="true" t="shared" si="45" ref="AA75:AA103">N75</f>
        <v>old</v>
      </c>
      <c r="AB75" s="49"/>
      <c r="AC75" s="49"/>
      <c r="AD75" s="49"/>
      <c r="AE75" t="s">
        <v>889</v>
      </c>
      <c r="AI75" t="str">
        <f aca="true" t="shared" si="46" ref="AI75:AI103">TRIM(RIGHT(LEFT(AE75,FIND(")",AE75)),LEN(LEFT(AE75,FIND(")",AE75)))-2))</f>
        <v>POLYNESIA (XPF)</v>
      </c>
      <c r="AJ75" t="str">
        <f aca="true" t="shared" si="47" ref="AJ75:AJ103">RIGHT(AE75,LEN(AE75)-LEN(AI75)-4)</f>
        <v>979400 753500 322900 </v>
      </c>
      <c r="AK75">
        <v>979400</v>
      </c>
      <c r="AL75">
        <v>753500</v>
      </c>
      <c r="AM75">
        <v>322900</v>
      </c>
      <c r="AO75" t="s">
        <v>675</v>
      </c>
      <c r="AS75" t="str">
        <f aca="true" t="shared" si="48" ref="AS75:AS103">TRIM(RIGHT(LEFT(AO75,FIND(")",AO75)),LEN(LEFT(AO75,FIND(")",AO75)))-2))</f>
        <v>POLYNESIA (XPF)</v>
      </c>
      <c r="AT75" t="str">
        <f aca="true" t="shared" si="49" ref="AT75:AT103">RIGHT(AO75,LEN(AO75)-LEN(AS75)-4)</f>
        <v>842000 641800 274900 </v>
      </c>
      <c r="AU75">
        <v>842000</v>
      </c>
      <c r="AV75">
        <v>641800</v>
      </c>
      <c r="AW75">
        <v>274900</v>
      </c>
      <c r="AY75" t="s">
        <v>544</v>
      </c>
      <c r="BC75" t="str">
        <f aca="true" t="shared" si="50" ref="BC75:BC103">TRIM(RIGHT(LEFT(AY75,FIND(")",AY75)),LEN(LEFT(AY75,FIND(")",AY75)))-2))</f>
        <v>POLYNESIA (XPF)</v>
      </c>
      <c r="BD75" t="str">
        <f aca="true" t="shared" si="51" ref="BD75:BD103">RIGHT(AY75,LEN(AY75)-LEN(BC75)-4)</f>
        <v>739000 558100 239100 </v>
      </c>
      <c r="BE75">
        <v>739000</v>
      </c>
      <c r="BF75">
        <v>558100</v>
      </c>
      <c r="BG75">
        <v>239100</v>
      </c>
      <c r="BJ75" t="str">
        <f t="shared" si="43"/>
        <v>POLYNESIA                     9497     7173     3073</v>
      </c>
    </row>
    <row r="76" spans="1:62" ht="12.75">
      <c r="A76" t="s">
        <v>833</v>
      </c>
      <c r="B76">
        <v>83</v>
      </c>
      <c r="C76" t="s">
        <v>832</v>
      </c>
      <c r="D76">
        <v>14293</v>
      </c>
      <c r="E76">
        <v>7749</v>
      </c>
      <c r="F76">
        <v>3569</v>
      </c>
      <c r="G76">
        <v>12127</v>
      </c>
      <c r="H76">
        <v>6559</v>
      </c>
      <c r="I76">
        <v>3049</v>
      </c>
      <c r="J76">
        <v>10539</v>
      </c>
      <c r="K76">
        <v>5669</v>
      </c>
      <c r="L76">
        <v>2519</v>
      </c>
      <c r="M76" t="str">
        <f t="shared" si="32"/>
        <v>EUR</v>
      </c>
      <c r="N76">
        <v>39563</v>
      </c>
      <c r="O76">
        <f t="shared" si="33"/>
        <v>6</v>
      </c>
      <c r="P76" s="3">
        <f>HLOOKUP(STclid,$R$7:$Z$104,ROWS($X$10:X76)+3,FALSE)</f>
        <v>18863.056931242805</v>
      </c>
      <c r="Q76" t="str">
        <f t="shared" si="44"/>
        <v>Portugal</v>
      </c>
      <c r="R76" s="3">
        <f t="shared" si="34"/>
        <v>22232.165657327732</v>
      </c>
      <c r="S76" s="3">
        <f t="shared" si="35"/>
        <v>12053.28869356976</v>
      </c>
      <c r="T76" s="3">
        <f t="shared" si="36"/>
        <v>5551.499923932181</v>
      </c>
      <c r="U76" s="3">
        <f t="shared" si="37"/>
        <v>18863.056931242805</v>
      </c>
      <c r="V76" s="3">
        <f t="shared" si="38"/>
        <v>10202.300981639444</v>
      </c>
      <c r="W76" s="3">
        <f t="shared" si="39"/>
        <v>4742.664957374397</v>
      </c>
      <c r="X76" s="3">
        <f t="shared" si="40"/>
        <v>16392.999379524033</v>
      </c>
      <c r="Y76" s="3">
        <f t="shared" si="41"/>
        <v>8817.948827338621</v>
      </c>
      <c r="Z76" s="3">
        <f t="shared" si="42"/>
        <v>3918.275472228962</v>
      </c>
      <c r="AA76" s="3">
        <f t="shared" si="45"/>
        <v>39563</v>
      </c>
      <c r="AB76" s="49"/>
      <c r="AC76" s="49"/>
      <c r="AD76" s="49"/>
      <c r="AE76" t="s">
        <v>890</v>
      </c>
      <c r="AI76" t="str">
        <f t="shared" si="46"/>
        <v>PORTUGAL (EUR)</v>
      </c>
      <c r="AJ76" t="str">
        <f t="shared" si="47"/>
        <v>9899 6499 3249 </v>
      </c>
      <c r="AK76">
        <v>9899</v>
      </c>
      <c r="AL76">
        <v>6499</v>
      </c>
      <c r="AM76">
        <v>3249</v>
      </c>
      <c r="AO76" t="s">
        <v>676</v>
      </c>
      <c r="AS76" t="str">
        <f t="shared" si="48"/>
        <v>PORTUGAL (EUR)</v>
      </c>
      <c r="AT76" t="str">
        <f t="shared" si="49"/>
        <v>8399 5549 2749 </v>
      </c>
      <c r="AU76">
        <v>8399</v>
      </c>
      <c r="AV76">
        <v>5549</v>
      </c>
      <c r="AW76">
        <v>2749</v>
      </c>
      <c r="AY76" t="s">
        <v>545</v>
      </c>
      <c r="BC76" t="str">
        <f t="shared" si="50"/>
        <v>PORTUGAL (EUR)</v>
      </c>
      <c r="BD76" t="str">
        <f t="shared" si="51"/>
        <v>7299 4799 2399 </v>
      </c>
      <c r="BE76">
        <v>7299</v>
      </c>
      <c r="BF76">
        <v>4799</v>
      </c>
      <c r="BG76">
        <v>2399</v>
      </c>
      <c r="BJ76" t="str">
        <f t="shared" si="43"/>
        <v>PORTUGAL                      16393     8818     3918</v>
      </c>
    </row>
    <row r="77" spans="1:62" ht="12.75">
      <c r="A77" t="s">
        <v>834</v>
      </c>
      <c r="B77">
        <v>23</v>
      </c>
      <c r="C77" t="s">
        <v>833</v>
      </c>
      <c r="D77">
        <v>9099</v>
      </c>
      <c r="E77">
        <v>6031</v>
      </c>
      <c r="F77">
        <v>3171</v>
      </c>
      <c r="G77">
        <v>7747</v>
      </c>
      <c r="H77">
        <v>5147</v>
      </c>
      <c r="I77">
        <v>2703</v>
      </c>
      <c r="J77">
        <v>6759</v>
      </c>
      <c r="K77">
        <v>4471</v>
      </c>
      <c r="L77">
        <v>2339</v>
      </c>
      <c r="M77" t="str">
        <f t="shared" si="32"/>
        <v>EUR</v>
      </c>
      <c r="N77" t="s">
        <v>493</v>
      </c>
      <c r="O77">
        <f t="shared" si="33"/>
        <v>47</v>
      </c>
      <c r="P77" s="3">
        <f>HLOOKUP(STclid,$R$7:$Z$104,ROWS($X$10:X77)+3,FALSE)</f>
        <v>12050.17881985223</v>
      </c>
      <c r="Q77" t="str">
        <f t="shared" si="44"/>
        <v>Reunion</v>
      </c>
      <c r="R77" s="3">
        <f t="shared" si="34"/>
        <v>14153.149732902471</v>
      </c>
      <c r="S77" s="3">
        <f t="shared" si="35"/>
        <v>9381.02343021154</v>
      </c>
      <c r="T77" s="3">
        <f t="shared" si="36"/>
        <v>4932.431114143724</v>
      </c>
      <c r="U77" s="3">
        <f t="shared" si="37"/>
        <v>12050.17881985223</v>
      </c>
      <c r="V77" s="3">
        <f t="shared" si="38"/>
        <v>8006.003987063306</v>
      </c>
      <c r="W77" s="3">
        <f t="shared" si="39"/>
        <v>4204.479644241717</v>
      </c>
      <c r="X77" s="3">
        <f t="shared" si="40"/>
        <v>10513.392383392438</v>
      </c>
      <c r="Y77" s="3">
        <f t="shared" si="41"/>
        <v>6954.518530538186</v>
      </c>
      <c r="Z77" s="3">
        <f t="shared" si="42"/>
        <v>3638.295167651267</v>
      </c>
      <c r="AA77" s="3" t="str">
        <f t="shared" si="45"/>
        <v>old</v>
      </c>
      <c r="AB77" s="49"/>
      <c r="AC77" s="49"/>
      <c r="AD77" s="49"/>
      <c r="AE77" t="s">
        <v>891</v>
      </c>
      <c r="AI77" t="str">
        <f t="shared" si="46"/>
        <v>REUNION (EUR)</v>
      </c>
      <c r="AJ77" t="str">
        <f t="shared" si="47"/>
        <v>9099 6031 3171 </v>
      </c>
      <c r="AK77">
        <v>9099</v>
      </c>
      <c r="AL77">
        <v>6031</v>
      </c>
      <c r="AM77">
        <v>3171</v>
      </c>
      <c r="AO77" t="s">
        <v>677</v>
      </c>
      <c r="AS77" t="str">
        <f t="shared" si="48"/>
        <v>REUNION (EUR)</v>
      </c>
      <c r="AT77" t="str">
        <f t="shared" si="49"/>
        <v>7747 5147 2703 </v>
      </c>
      <c r="AU77">
        <v>7747</v>
      </c>
      <c r="AV77">
        <v>5147</v>
      </c>
      <c r="AW77">
        <v>2703</v>
      </c>
      <c r="AY77" t="s">
        <v>546</v>
      </c>
      <c r="BC77" t="str">
        <f t="shared" si="50"/>
        <v>REUNION (EUR)</v>
      </c>
      <c r="BD77" t="str">
        <f t="shared" si="51"/>
        <v>6759 4471 2339 </v>
      </c>
      <c r="BE77">
        <v>6759</v>
      </c>
      <c r="BF77">
        <v>4471</v>
      </c>
      <c r="BG77">
        <v>2339</v>
      </c>
      <c r="BJ77" t="str">
        <f t="shared" si="43"/>
        <v>REUNION                       10513     6955     3638</v>
      </c>
    </row>
    <row r="78" spans="1:62" ht="12.75">
      <c r="A78" t="s">
        <v>835</v>
      </c>
      <c r="B78">
        <v>74</v>
      </c>
      <c r="C78" t="s">
        <v>834</v>
      </c>
      <c r="D78">
        <v>7099</v>
      </c>
      <c r="E78">
        <v>4809</v>
      </c>
      <c r="F78">
        <v>2659</v>
      </c>
      <c r="G78">
        <v>6049</v>
      </c>
      <c r="H78">
        <v>4099</v>
      </c>
      <c r="I78">
        <v>2269</v>
      </c>
      <c r="J78">
        <v>5259</v>
      </c>
      <c r="K78">
        <v>3559</v>
      </c>
      <c r="L78">
        <v>1969</v>
      </c>
      <c r="M78" t="str">
        <f t="shared" si="32"/>
        <v>EUR</v>
      </c>
      <c r="N78" t="s">
        <v>493</v>
      </c>
      <c r="O78">
        <f t="shared" si="33"/>
        <v>69</v>
      </c>
      <c r="P78" s="3">
        <f>HLOOKUP(STclid,$R$7:$Z$104,ROWS($X$10:X78)+3,FALSE)</f>
        <v>9409.02248366931</v>
      </c>
      <c r="Q78" t="str">
        <f t="shared" si="44"/>
        <v>Romania</v>
      </c>
      <c r="R78" s="3">
        <f t="shared" si="34"/>
        <v>11042.24693537253</v>
      </c>
      <c r="S78" s="3">
        <f t="shared" si="35"/>
        <v>7480.2621788007455</v>
      </c>
      <c r="T78" s="3">
        <f t="shared" si="36"/>
        <v>4136.040682456058</v>
      </c>
      <c r="U78" s="3">
        <f t="shared" si="37"/>
        <v>9409.02248366931</v>
      </c>
      <c r="V78" s="3">
        <f t="shared" si="38"/>
        <v>6375.8913590776165</v>
      </c>
      <c r="W78" s="3">
        <f t="shared" si="39"/>
        <v>3529.4144575377195</v>
      </c>
      <c r="X78" s="3">
        <f t="shared" si="40"/>
        <v>8180.215515244982</v>
      </c>
      <c r="Y78" s="3">
        <f t="shared" si="41"/>
        <v>5535.947355344531</v>
      </c>
      <c r="Z78" s="3">
        <f t="shared" si="42"/>
        <v>3062.778899908228</v>
      </c>
      <c r="AA78" s="3" t="str">
        <f t="shared" si="45"/>
        <v>old</v>
      </c>
      <c r="AB78" s="49"/>
      <c r="AC78" s="49"/>
      <c r="AD78" s="49"/>
      <c r="AE78" t="s">
        <v>892</v>
      </c>
      <c r="AI78" t="str">
        <f t="shared" si="46"/>
        <v>ROMANIA (EUR)</v>
      </c>
      <c r="AJ78" t="str">
        <f t="shared" si="47"/>
        <v>7099 4809 2659 </v>
      </c>
      <c r="AK78">
        <v>7099</v>
      </c>
      <c r="AL78">
        <v>4809</v>
      </c>
      <c r="AM78">
        <v>2659</v>
      </c>
      <c r="AO78" t="s">
        <v>678</v>
      </c>
      <c r="AS78" t="str">
        <f t="shared" si="48"/>
        <v>ROMANIA (EUR)</v>
      </c>
      <c r="AT78" t="str">
        <f t="shared" si="49"/>
        <v>6049 4099 2269 </v>
      </c>
      <c r="AU78">
        <v>6049</v>
      </c>
      <c r="AV78">
        <v>4099</v>
      </c>
      <c r="AW78">
        <v>2269</v>
      </c>
      <c r="AY78" t="s">
        <v>547</v>
      </c>
      <c r="BC78" t="str">
        <f t="shared" si="50"/>
        <v>ROMANIA (EUR)</v>
      </c>
      <c r="BD78" t="str">
        <f t="shared" si="51"/>
        <v>5259 3559 1969 </v>
      </c>
      <c r="BE78">
        <v>5259</v>
      </c>
      <c r="BF78">
        <v>3559</v>
      </c>
      <c r="BG78">
        <v>1969</v>
      </c>
      <c r="BJ78" t="str">
        <f t="shared" si="43"/>
        <v>ROMANIA                       8180     5536     3063</v>
      </c>
    </row>
    <row r="79" spans="1:62" ht="12.75">
      <c r="A79" t="s">
        <v>836</v>
      </c>
      <c r="B79">
        <v>58</v>
      </c>
      <c r="C79" t="s">
        <v>835</v>
      </c>
      <c r="D79">
        <v>21782.7828</v>
      </c>
      <c r="E79">
        <v>11174.991600000001</v>
      </c>
      <c r="F79">
        <v>4921.384800000001</v>
      </c>
      <c r="G79">
        <v>18555.5862</v>
      </c>
      <c r="H79">
        <v>9450.939600000002</v>
      </c>
      <c r="I79">
        <v>4357.149600000001</v>
      </c>
      <c r="J79">
        <v>16135.559400000002</v>
      </c>
      <c r="K79">
        <v>8212.756800000001</v>
      </c>
      <c r="L79">
        <v>3698.8752000000004</v>
      </c>
      <c r="M79" t="str">
        <f t="shared" si="32"/>
        <v>USD</v>
      </c>
      <c r="N79">
        <v>39563</v>
      </c>
      <c r="O79">
        <f t="shared" si="33"/>
        <v>19</v>
      </c>
      <c r="P79" s="3">
        <f>HLOOKUP(STclid,$R$7:$Z$104,ROWS($X$10:X79)+3,FALSE)</f>
        <v>18555.68105</v>
      </c>
      <c r="Q79" t="str">
        <f t="shared" si="44"/>
        <v>Russia</v>
      </c>
      <c r="R79" s="3">
        <f t="shared" si="34"/>
        <v>21782.87765</v>
      </c>
      <c r="S79" s="3">
        <f t="shared" si="35"/>
        <v>11175.08645</v>
      </c>
      <c r="T79" s="3">
        <f t="shared" si="36"/>
        <v>4921.479650000001</v>
      </c>
      <c r="U79" s="3">
        <f t="shared" si="37"/>
        <v>18555.68105</v>
      </c>
      <c r="V79" s="3">
        <f t="shared" si="38"/>
        <v>9451.034450000001</v>
      </c>
      <c r="W79" s="3">
        <f t="shared" si="39"/>
        <v>4357.244450000001</v>
      </c>
      <c r="X79" s="3">
        <f t="shared" si="40"/>
        <v>16135.654250000001</v>
      </c>
      <c r="Y79" s="3">
        <f t="shared" si="41"/>
        <v>8212.85165</v>
      </c>
      <c r="Z79" s="3">
        <f t="shared" si="42"/>
        <v>3698.9700500000004</v>
      </c>
      <c r="AA79" s="3">
        <f t="shared" si="45"/>
        <v>39563</v>
      </c>
      <c r="AB79" s="49"/>
      <c r="AC79" s="49"/>
      <c r="AD79" s="49"/>
      <c r="AE79" t="s">
        <v>893</v>
      </c>
      <c r="AI79" t="str">
        <f t="shared" si="46"/>
        <v>RUSSIA (USD)</v>
      </c>
      <c r="AJ79" t="str">
        <f t="shared" si="47"/>
        <v>9626 6872 3523 </v>
      </c>
      <c r="AK79">
        <v>9626</v>
      </c>
      <c r="AL79">
        <v>6872</v>
      </c>
      <c r="AM79">
        <v>3523</v>
      </c>
      <c r="AO79" t="s">
        <v>679</v>
      </c>
      <c r="AS79" t="str">
        <f t="shared" si="48"/>
        <v>RUSSIA (USD)</v>
      </c>
      <c r="AT79" t="str">
        <f t="shared" si="49"/>
        <v>8200 5854 3001 </v>
      </c>
      <c r="AU79">
        <v>8200</v>
      </c>
      <c r="AV79">
        <v>5854</v>
      </c>
      <c r="AW79">
        <v>3001</v>
      </c>
      <c r="AY79" t="s">
        <v>548</v>
      </c>
      <c r="BC79" t="str">
        <f t="shared" si="50"/>
        <v>RUSSIA (USD)</v>
      </c>
      <c r="BD79" t="str">
        <f t="shared" si="51"/>
        <v>7130 5090 2610 </v>
      </c>
      <c r="BE79">
        <v>7130</v>
      </c>
      <c r="BF79">
        <v>5090</v>
      </c>
      <c r="BG79">
        <v>2610</v>
      </c>
      <c r="BJ79" t="str">
        <f t="shared" si="43"/>
        <v>RUSSIA                        16136     8213     3699</v>
      </c>
    </row>
    <row r="80" spans="1:62" ht="12.75">
      <c r="A80" t="s">
        <v>837</v>
      </c>
      <c r="B80">
        <v>9</v>
      </c>
      <c r="C80" t="s">
        <v>836</v>
      </c>
      <c r="D80">
        <v>23306</v>
      </c>
      <c r="E80">
        <v>16847</v>
      </c>
      <c r="F80">
        <v>7663</v>
      </c>
      <c r="G80">
        <v>19853</v>
      </c>
      <c r="H80">
        <v>14351</v>
      </c>
      <c r="I80">
        <v>6528</v>
      </c>
      <c r="J80">
        <v>17263</v>
      </c>
      <c r="K80">
        <v>12479</v>
      </c>
      <c r="L80">
        <v>5676</v>
      </c>
      <c r="M80" t="str">
        <f t="shared" si="32"/>
        <v>WST</v>
      </c>
      <c r="N80" t="s">
        <v>493</v>
      </c>
      <c r="O80">
        <f t="shared" si="33"/>
        <v>88</v>
      </c>
      <c r="P80" s="3">
        <f>HLOOKUP(STclid,$R$7:$Z$104,ROWS($X$10:X80)+3,FALSE)</f>
        <v>7792.306679551769</v>
      </c>
      <c r="Q80" t="str">
        <f t="shared" si="44"/>
        <v>Samoa</v>
      </c>
      <c r="R80" s="3">
        <f t="shared" si="34"/>
        <v>9147.593593752257</v>
      </c>
      <c r="S80" s="3">
        <f t="shared" si="35"/>
        <v>6612.465247728234</v>
      </c>
      <c r="T80" s="3">
        <f t="shared" si="36"/>
        <v>3007.7867015315173</v>
      </c>
      <c r="U80" s="3">
        <f t="shared" si="37"/>
        <v>7792.306679551769</v>
      </c>
      <c r="V80" s="3">
        <f t="shared" si="38"/>
        <v>5632.796513918674</v>
      </c>
      <c r="W80" s="3">
        <f t="shared" si="39"/>
        <v>2562.3043245788526</v>
      </c>
      <c r="X80" s="3">
        <f t="shared" si="40"/>
        <v>6775.743370029828</v>
      </c>
      <c r="Y80" s="3">
        <f t="shared" si="41"/>
        <v>4898.044963561502</v>
      </c>
      <c r="Z80" s="3">
        <f t="shared" si="42"/>
        <v>2227.898170249627</v>
      </c>
      <c r="AA80" s="3" t="str">
        <f t="shared" si="45"/>
        <v>old</v>
      </c>
      <c r="AB80" s="49"/>
      <c r="AC80" s="49"/>
      <c r="AD80" s="49"/>
      <c r="AE80" t="s">
        <v>894</v>
      </c>
      <c r="AI80" t="str">
        <f t="shared" si="46"/>
        <v>SAMOA (WST)</v>
      </c>
      <c r="AJ80" t="str">
        <f t="shared" si="47"/>
        <v>23306 16847 7663 </v>
      </c>
      <c r="AK80">
        <v>23306</v>
      </c>
      <c r="AL80">
        <v>16847</v>
      </c>
      <c r="AM80">
        <v>7663</v>
      </c>
      <c r="AO80" t="s">
        <v>680</v>
      </c>
      <c r="AS80" t="str">
        <f t="shared" si="48"/>
        <v>SAMOA (WST)</v>
      </c>
      <c r="AT80" t="str">
        <f t="shared" si="49"/>
        <v>19853 14351 6528 </v>
      </c>
      <c r="AU80">
        <v>19853</v>
      </c>
      <c r="AV80">
        <v>14351</v>
      </c>
      <c r="AW80">
        <v>6528</v>
      </c>
      <c r="AY80" t="s">
        <v>549</v>
      </c>
      <c r="BC80" t="str">
        <f t="shared" si="50"/>
        <v>SAMOA (WST)</v>
      </c>
      <c r="BD80" t="str">
        <f t="shared" si="51"/>
        <v>17263 12479 5676 </v>
      </c>
      <c r="BE80">
        <v>17263</v>
      </c>
      <c r="BF80">
        <v>12479</v>
      </c>
      <c r="BG80">
        <v>5676</v>
      </c>
      <c r="BJ80" t="str">
        <f t="shared" si="43"/>
        <v>SAMOA                         6776     4898     2228</v>
      </c>
    </row>
    <row r="81" spans="1:62" ht="12.75">
      <c r="A81" t="s">
        <v>838</v>
      </c>
      <c r="B81">
        <v>12</v>
      </c>
      <c r="C81" t="s">
        <v>837</v>
      </c>
      <c r="D81">
        <v>34560</v>
      </c>
      <c r="E81">
        <v>25100</v>
      </c>
      <c r="F81">
        <v>14040</v>
      </c>
      <c r="G81">
        <v>29440</v>
      </c>
      <c r="H81">
        <v>21380</v>
      </c>
      <c r="I81">
        <v>11960</v>
      </c>
      <c r="J81">
        <v>25600</v>
      </c>
      <c r="K81">
        <v>18590</v>
      </c>
      <c r="L81">
        <v>10400</v>
      </c>
      <c r="M81" t="str">
        <f t="shared" si="32"/>
        <v>SAR</v>
      </c>
      <c r="N81" t="s">
        <v>493</v>
      </c>
      <c r="O81">
        <f t="shared" si="33"/>
        <v>87</v>
      </c>
      <c r="P81" s="3">
        <f>HLOOKUP(STclid,$R$7:$Z$104,ROWS($X$10:X81)+3,FALSE)</f>
        <v>7840.09813087188</v>
      </c>
      <c r="Q81" t="str">
        <f t="shared" si="44"/>
        <v>Saudi Arabia</v>
      </c>
      <c r="R81" s="3">
        <f t="shared" si="34"/>
        <v>9203.577132762644</v>
      </c>
      <c r="S81" s="3">
        <f t="shared" si="35"/>
        <v>6684.336633175414</v>
      </c>
      <c r="T81" s="3">
        <f t="shared" si="36"/>
        <v>3739.008945497324</v>
      </c>
      <c r="U81" s="3">
        <f t="shared" si="37"/>
        <v>7840.09813087188</v>
      </c>
      <c r="V81" s="3">
        <f t="shared" si="38"/>
        <v>5693.683920864158</v>
      </c>
      <c r="W81" s="3">
        <f t="shared" si="39"/>
        <v>3185.095600979202</v>
      </c>
      <c r="X81" s="3">
        <f t="shared" si="40"/>
        <v>6817.488879453809</v>
      </c>
      <c r="Y81" s="3">
        <f t="shared" si="41"/>
        <v>4950.694386630715</v>
      </c>
      <c r="Z81" s="3">
        <f t="shared" si="42"/>
        <v>2769.6605925906106</v>
      </c>
      <c r="AA81" s="3" t="str">
        <f t="shared" si="45"/>
        <v>old</v>
      </c>
      <c r="AB81" s="49"/>
      <c r="AC81" s="49"/>
      <c r="AD81" s="49"/>
      <c r="AE81" t="s">
        <v>895</v>
      </c>
      <c r="AI81" t="str">
        <f t="shared" si="46"/>
        <v>SAUDI ARABIA (SAR)</v>
      </c>
      <c r="AJ81" t="str">
        <f t="shared" si="47"/>
        <v>34560 25100 14040 </v>
      </c>
      <c r="AK81">
        <v>34560</v>
      </c>
      <c r="AL81">
        <v>25100</v>
      </c>
      <c r="AM81">
        <v>14040</v>
      </c>
      <c r="AO81" t="s">
        <v>681</v>
      </c>
      <c r="AS81" t="str">
        <f t="shared" si="48"/>
        <v>SAUDI ARABIA (SAR)</v>
      </c>
      <c r="AT81" t="str">
        <f t="shared" si="49"/>
        <v>29440 21380 11960 </v>
      </c>
      <c r="AU81">
        <v>29440</v>
      </c>
      <c r="AV81">
        <v>21380</v>
      </c>
      <c r="AW81">
        <v>11960</v>
      </c>
      <c r="AY81" t="s">
        <v>550</v>
      </c>
      <c r="BC81" t="str">
        <f t="shared" si="50"/>
        <v>SAUDI ARABIA (SAR)</v>
      </c>
      <c r="BD81" t="str">
        <f t="shared" si="51"/>
        <v>25600 18590 10400 </v>
      </c>
      <c r="BE81">
        <v>25600</v>
      </c>
      <c r="BF81">
        <v>18590</v>
      </c>
      <c r="BG81">
        <v>10400</v>
      </c>
      <c r="BJ81" t="str">
        <f t="shared" si="43"/>
        <v>SAUDI ARABIA                  6817     4951     2770</v>
      </c>
    </row>
    <row r="82" spans="1:62" ht="12.75">
      <c r="A82" t="s">
        <v>839</v>
      </c>
      <c r="B82">
        <v>30</v>
      </c>
      <c r="C82" t="s">
        <v>838</v>
      </c>
      <c r="D82">
        <v>7099</v>
      </c>
      <c r="E82">
        <v>4809</v>
      </c>
      <c r="F82">
        <v>2659</v>
      </c>
      <c r="G82">
        <v>6049</v>
      </c>
      <c r="H82">
        <v>4099</v>
      </c>
      <c r="I82">
        <v>2269</v>
      </c>
      <c r="J82">
        <v>5259</v>
      </c>
      <c r="K82">
        <v>3559</v>
      </c>
      <c r="L82">
        <v>1969</v>
      </c>
      <c r="M82" t="str">
        <f t="shared" si="32"/>
        <v>EUR</v>
      </c>
      <c r="N82" t="s">
        <v>493</v>
      </c>
      <c r="O82">
        <f t="shared" si="33"/>
        <v>68</v>
      </c>
      <c r="P82" s="3">
        <f>HLOOKUP(STclid,$R$7:$Z$104,ROWS($X$10:X82)+3,FALSE)</f>
        <v>9409.022533669311</v>
      </c>
      <c r="Q82" t="str">
        <f t="shared" si="44"/>
        <v>Serbia Mont</v>
      </c>
      <c r="R82" s="3">
        <f t="shared" si="34"/>
        <v>11042.24698537253</v>
      </c>
      <c r="S82" s="3">
        <f t="shared" si="35"/>
        <v>7480.262228800746</v>
      </c>
      <c r="T82" s="3">
        <f t="shared" si="36"/>
        <v>4136.040732456058</v>
      </c>
      <c r="U82" s="3">
        <f t="shared" si="37"/>
        <v>9409.022533669311</v>
      </c>
      <c r="V82" s="3">
        <f t="shared" si="38"/>
        <v>6375.891409077617</v>
      </c>
      <c r="W82" s="3">
        <f t="shared" si="39"/>
        <v>3529.414507537719</v>
      </c>
      <c r="X82" s="3">
        <f t="shared" si="40"/>
        <v>8180.215565244983</v>
      </c>
      <c r="Y82" s="3">
        <f t="shared" si="41"/>
        <v>5535.947405344532</v>
      </c>
      <c r="Z82" s="3">
        <f t="shared" si="42"/>
        <v>3062.778949908228</v>
      </c>
      <c r="AA82" s="3" t="str">
        <f t="shared" si="45"/>
        <v>old</v>
      </c>
      <c r="AB82" s="49"/>
      <c r="AC82" s="49"/>
      <c r="AD82" s="49"/>
      <c r="AE82" t="s">
        <v>896</v>
      </c>
      <c r="AI82" t="str">
        <f t="shared" si="46"/>
        <v>SERBIA MONT (EUR)</v>
      </c>
      <c r="AJ82" t="str">
        <f t="shared" si="47"/>
        <v>7099 4809 2659 </v>
      </c>
      <c r="AK82">
        <v>7099</v>
      </c>
      <c r="AL82">
        <v>4809</v>
      </c>
      <c r="AM82">
        <v>2659</v>
      </c>
      <c r="AO82" t="s">
        <v>682</v>
      </c>
      <c r="AS82" t="str">
        <f t="shared" si="48"/>
        <v>SERBIA MONT (EUR)</v>
      </c>
      <c r="AT82" t="str">
        <f t="shared" si="49"/>
        <v>6049 4099 2269 </v>
      </c>
      <c r="AU82">
        <v>6049</v>
      </c>
      <c r="AV82">
        <v>4099</v>
      </c>
      <c r="AW82">
        <v>2269</v>
      </c>
      <c r="AY82" t="s">
        <v>551</v>
      </c>
      <c r="BC82" t="str">
        <f t="shared" si="50"/>
        <v>SERBIA MONT (EUR)</v>
      </c>
      <c r="BD82" t="str">
        <f t="shared" si="51"/>
        <v>5259 3559 1969 </v>
      </c>
      <c r="BE82">
        <v>5259</v>
      </c>
      <c r="BF82">
        <v>3559</v>
      </c>
      <c r="BG82">
        <v>1969</v>
      </c>
      <c r="BJ82" t="str">
        <f t="shared" si="43"/>
        <v>SERBIA MONT                   8180     5536     3063</v>
      </c>
    </row>
    <row r="83" spans="1:62" ht="12.75">
      <c r="A83" t="s">
        <v>840</v>
      </c>
      <c r="B83">
        <v>32</v>
      </c>
      <c r="C83" t="s">
        <v>839</v>
      </c>
      <c r="D83">
        <v>61815</v>
      </c>
      <c r="E83">
        <v>49364</v>
      </c>
      <c r="F83">
        <v>27172</v>
      </c>
      <c r="G83">
        <v>52650</v>
      </c>
      <c r="H83">
        <v>42095</v>
      </c>
      <c r="I83">
        <v>23001</v>
      </c>
      <c r="J83">
        <v>45761</v>
      </c>
      <c r="K83">
        <v>36534</v>
      </c>
      <c r="L83">
        <v>20220</v>
      </c>
      <c r="M83" t="str">
        <f t="shared" si="32"/>
        <v>SCR</v>
      </c>
      <c r="N83" t="s">
        <v>493</v>
      </c>
      <c r="O83">
        <f t="shared" si="33"/>
        <v>92</v>
      </c>
      <c r="P83" s="3">
        <f>HLOOKUP(STclid,$R$7:$Z$104,ROWS($X$10:X83)+3,FALSE)</f>
        <v>6534.054771162338</v>
      </c>
      <c r="Q83" t="str">
        <f t="shared" si="44"/>
        <v>Seychelles</v>
      </c>
      <c r="R83" s="3">
        <f t="shared" si="34"/>
        <v>7671.447888475782</v>
      </c>
      <c r="S83" s="3">
        <f t="shared" si="35"/>
        <v>6126.256213225406</v>
      </c>
      <c r="T83" s="3">
        <f t="shared" si="36"/>
        <v>3372.1887763001523</v>
      </c>
      <c r="U83" s="3">
        <f t="shared" si="37"/>
        <v>6534.054771162338</v>
      </c>
      <c r="V83" s="3">
        <f t="shared" si="38"/>
        <v>5224.160133601683</v>
      </c>
      <c r="W83" s="3">
        <f t="shared" si="39"/>
        <v>2854.5601137453928</v>
      </c>
      <c r="X83" s="3">
        <f t="shared" si="40"/>
        <v>5679.117380527061</v>
      </c>
      <c r="Y83" s="3">
        <f t="shared" si="41"/>
        <v>4534.029950799712</v>
      </c>
      <c r="Z83" s="3">
        <f t="shared" si="42"/>
        <v>2509.4329714378437</v>
      </c>
      <c r="AA83" s="3" t="str">
        <f t="shared" si="45"/>
        <v>old</v>
      </c>
      <c r="AB83" s="49"/>
      <c r="AC83" s="49"/>
      <c r="AD83" s="49"/>
      <c r="AE83" t="s">
        <v>897</v>
      </c>
      <c r="AI83" t="str">
        <f t="shared" si="46"/>
        <v>SEYCHELLES (SCR)</v>
      </c>
      <c r="AJ83" t="str">
        <f t="shared" si="47"/>
        <v>61815 49364 27172 </v>
      </c>
      <c r="AK83">
        <v>61815</v>
      </c>
      <c r="AL83">
        <v>49364</v>
      </c>
      <c r="AM83">
        <v>27172</v>
      </c>
      <c r="AO83" t="s">
        <v>683</v>
      </c>
      <c r="AS83" t="str">
        <f t="shared" si="48"/>
        <v>SEYCHELLES (SCR)</v>
      </c>
      <c r="AT83" t="str">
        <f t="shared" si="49"/>
        <v>52650 42095 23001 </v>
      </c>
      <c r="AU83">
        <v>52650</v>
      </c>
      <c r="AV83">
        <v>42095</v>
      </c>
      <c r="AW83">
        <v>23001</v>
      </c>
      <c r="AY83" t="s">
        <v>552</v>
      </c>
      <c r="BC83" t="str">
        <f t="shared" si="50"/>
        <v>SEYCHELLES (SCR)</v>
      </c>
      <c r="BD83" t="str">
        <f t="shared" si="51"/>
        <v>45761 36534 20220 </v>
      </c>
      <c r="BE83">
        <v>45761</v>
      </c>
      <c r="BF83">
        <v>36534</v>
      </c>
      <c r="BG83">
        <v>20220</v>
      </c>
      <c r="BJ83" t="str">
        <f t="shared" si="43"/>
        <v>SEYCHELLES                    5679     4534     2509</v>
      </c>
    </row>
    <row r="84" spans="1:62" ht="12.75">
      <c r="A84" t="s">
        <v>841</v>
      </c>
      <c r="B84">
        <v>34</v>
      </c>
      <c r="C84" t="s">
        <v>840</v>
      </c>
      <c r="D84">
        <v>24747</v>
      </c>
      <c r="E84">
        <v>15730</v>
      </c>
      <c r="F84">
        <v>7040</v>
      </c>
      <c r="G84">
        <v>21079</v>
      </c>
      <c r="H84">
        <v>13310</v>
      </c>
      <c r="I84">
        <v>6090</v>
      </c>
      <c r="J84">
        <v>18323</v>
      </c>
      <c r="K84">
        <v>11550</v>
      </c>
      <c r="L84">
        <v>5250</v>
      </c>
      <c r="M84" t="str">
        <f t="shared" si="32"/>
        <v>SGD</v>
      </c>
      <c r="N84">
        <v>39563</v>
      </c>
      <c r="O84">
        <f t="shared" si="33"/>
        <v>32</v>
      </c>
      <c r="P84" s="3">
        <f>HLOOKUP(STclid,$R$7:$Z$104,ROWS($X$10:X84)+3,FALSE)</f>
        <v>15514.188954898063</v>
      </c>
      <c r="Q84" t="str">
        <f t="shared" si="44"/>
        <v>Singapore</v>
      </c>
      <c r="R84" s="3">
        <f t="shared" si="34"/>
        <v>18213.82831605211</v>
      </c>
      <c r="S84" s="3">
        <f t="shared" si="35"/>
        <v>11577.337552822552</v>
      </c>
      <c r="T84" s="3">
        <f t="shared" si="36"/>
        <v>5181.518019445058</v>
      </c>
      <c r="U84" s="3">
        <f t="shared" si="37"/>
        <v>15514.188954898063</v>
      </c>
      <c r="V84" s="3">
        <f t="shared" si="38"/>
        <v>9796.223252388312</v>
      </c>
      <c r="W84" s="3">
        <f t="shared" si="39"/>
        <v>4482.320256877898</v>
      </c>
      <c r="X84" s="3">
        <f t="shared" si="40"/>
        <v>13485.779445808494</v>
      </c>
      <c r="Y84" s="3">
        <f t="shared" si="41"/>
        <v>8500.867397527049</v>
      </c>
      <c r="Z84" s="3">
        <f t="shared" si="42"/>
        <v>3864.082235239567</v>
      </c>
      <c r="AA84" s="3">
        <f t="shared" si="45"/>
        <v>39563</v>
      </c>
      <c r="AB84" s="49"/>
      <c r="AC84" s="49"/>
      <c r="AD84" s="49"/>
      <c r="AE84" t="s">
        <v>898</v>
      </c>
      <c r="AI84" t="str">
        <f t="shared" si="46"/>
        <v>SINGAPORE (SGD)</v>
      </c>
      <c r="AJ84" t="str">
        <f t="shared" si="47"/>
        <v>17140 11900 6420 </v>
      </c>
      <c r="AK84">
        <v>17140</v>
      </c>
      <c r="AL84">
        <v>11900</v>
      </c>
      <c r="AM84">
        <v>6420</v>
      </c>
      <c r="AO84" t="s">
        <v>684</v>
      </c>
      <c r="AS84" t="str">
        <f t="shared" si="48"/>
        <v>SINGAPORE (SGD)</v>
      </c>
      <c r="AT84" t="str">
        <f t="shared" si="49"/>
        <v>14600 10140 5470 </v>
      </c>
      <c r="AU84">
        <v>14600</v>
      </c>
      <c r="AV84">
        <v>10140</v>
      </c>
      <c r="AW84">
        <v>5470</v>
      </c>
      <c r="AY84" t="s">
        <v>553</v>
      </c>
      <c r="BC84" t="str">
        <f t="shared" si="50"/>
        <v>SINGAPORE (SGD)</v>
      </c>
      <c r="BD84" t="str">
        <f t="shared" si="51"/>
        <v>12690 8810 4760 </v>
      </c>
      <c r="BE84">
        <v>12690</v>
      </c>
      <c r="BF84">
        <v>8810</v>
      </c>
      <c r="BG84">
        <v>4760</v>
      </c>
      <c r="BJ84" t="str">
        <f t="shared" si="43"/>
        <v>SINGAPORE                     13486     8501     3864</v>
      </c>
    </row>
    <row r="85" spans="1:62" ht="12.75">
      <c r="A85" t="s">
        <v>842</v>
      </c>
      <c r="B85">
        <v>41</v>
      </c>
      <c r="C85" t="s">
        <v>841</v>
      </c>
      <c r="D85">
        <v>583661.8462806512</v>
      </c>
      <c r="E85">
        <v>257658.04244797034</v>
      </c>
      <c r="F85">
        <v>118678.6606222955</v>
      </c>
      <c r="G85">
        <v>497206.55264784675</v>
      </c>
      <c r="H85">
        <v>218087.74778487536</v>
      </c>
      <c r="I85">
        <v>101406.9359159283</v>
      </c>
      <c r="J85">
        <v>432340.9148980013</v>
      </c>
      <c r="K85">
        <v>188506.69688852257</v>
      </c>
      <c r="L85">
        <v>83845.20090665568</v>
      </c>
      <c r="M85" t="str">
        <f t="shared" si="32"/>
        <v>SKK</v>
      </c>
      <c r="N85">
        <v>39563</v>
      </c>
      <c r="O85">
        <f t="shared" si="33"/>
        <v>3</v>
      </c>
      <c r="P85" s="3">
        <f>HLOOKUP(STclid,$R$7:$Z$104,ROWS($X$10:X85)+3,FALSE)</f>
        <v>23896.21413179299</v>
      </c>
      <c r="Q85" t="str">
        <f t="shared" si="44"/>
        <v>Slovakia</v>
      </c>
      <c r="R85" s="3">
        <f t="shared" si="34"/>
        <v>28051.320280339365</v>
      </c>
      <c r="S85" s="3">
        <f t="shared" si="35"/>
        <v>12383.33336090452</v>
      </c>
      <c r="T85" s="3">
        <f t="shared" si="36"/>
        <v>5703.88020448241</v>
      </c>
      <c r="U85" s="3">
        <f t="shared" si="37"/>
        <v>23896.21413179299</v>
      </c>
      <c r="V85" s="3">
        <f t="shared" si="38"/>
        <v>10481.555369695072</v>
      </c>
      <c r="W85" s="3">
        <f t="shared" si="39"/>
        <v>4873.788182260696</v>
      </c>
      <c r="X85" s="3">
        <f t="shared" si="40"/>
        <v>20778.723011023758</v>
      </c>
      <c r="Y85" s="3">
        <f t="shared" si="41"/>
        <v>9059.867913725793</v>
      </c>
      <c r="Z85" s="3">
        <f t="shared" si="42"/>
        <v>4029.758047725558</v>
      </c>
      <c r="AA85" s="3">
        <f t="shared" si="45"/>
        <v>39563</v>
      </c>
      <c r="AB85" s="49"/>
      <c r="AC85" s="49"/>
      <c r="AD85" s="49"/>
      <c r="AE85" t="s">
        <v>899</v>
      </c>
      <c r="AI85" t="str">
        <f t="shared" si="46"/>
        <v>SLOVAKIA (SKK)</v>
      </c>
      <c r="AJ85" t="str">
        <f t="shared" si="47"/>
        <v>406020 266950 133430 </v>
      </c>
      <c r="AK85">
        <v>406020</v>
      </c>
      <c r="AL85">
        <v>266950</v>
      </c>
      <c r="AM85">
        <v>133430</v>
      </c>
      <c r="AO85" t="s">
        <v>685</v>
      </c>
      <c r="AS85" t="str">
        <f t="shared" si="48"/>
        <v>SLOVAKIA (SKK)</v>
      </c>
      <c r="AT85" t="str">
        <f t="shared" si="49"/>
        <v>345870 227410 113660 </v>
      </c>
      <c r="AU85">
        <v>345870</v>
      </c>
      <c r="AV85">
        <v>227410</v>
      </c>
      <c r="AW85">
        <v>113660</v>
      </c>
      <c r="AY85" t="s">
        <v>554</v>
      </c>
      <c r="BC85" t="str">
        <f t="shared" si="50"/>
        <v>SLOVAKIA (SKK)</v>
      </c>
      <c r="BD85" t="str">
        <f t="shared" si="51"/>
        <v>300750 197740 98840 </v>
      </c>
      <c r="BE85">
        <v>300750</v>
      </c>
      <c r="BF85">
        <v>197740</v>
      </c>
      <c r="BG85">
        <v>98840</v>
      </c>
      <c r="BJ85" t="str">
        <f t="shared" si="43"/>
        <v>SLOVAKIA                      20779     9060     4030</v>
      </c>
    </row>
    <row r="86" spans="1:62" ht="12.75">
      <c r="A86" t="s">
        <v>843</v>
      </c>
      <c r="B86">
        <v>43</v>
      </c>
      <c r="C86" t="s">
        <v>842</v>
      </c>
      <c r="D86">
        <v>13629</v>
      </c>
      <c r="E86">
        <v>7250</v>
      </c>
      <c r="F86">
        <v>3410</v>
      </c>
      <c r="G86">
        <v>11549</v>
      </c>
      <c r="H86">
        <v>6150</v>
      </c>
      <c r="I86">
        <v>2910</v>
      </c>
      <c r="J86">
        <v>9999</v>
      </c>
      <c r="K86">
        <v>5340</v>
      </c>
      <c r="L86">
        <v>2370</v>
      </c>
      <c r="M86" t="str">
        <f t="shared" si="32"/>
        <v>EUR</v>
      </c>
      <c r="N86">
        <v>39563</v>
      </c>
      <c r="O86">
        <f t="shared" si="33"/>
        <v>25</v>
      </c>
      <c r="P86" s="3">
        <f>HLOOKUP(STclid,$R$7:$Z$104,ROWS($X$10:X86)+3,FALSE)</f>
        <v>17964.00842687665</v>
      </c>
      <c r="Q86" t="str">
        <f t="shared" si="44"/>
        <v>Slovenia</v>
      </c>
      <c r="R86" s="3">
        <f t="shared" si="34"/>
        <v>21199.34829310779</v>
      </c>
      <c r="S86" s="3">
        <f t="shared" si="35"/>
        <v>11277.12088604604</v>
      </c>
      <c r="T86" s="3">
        <f t="shared" si="36"/>
        <v>5304.1857483885515</v>
      </c>
      <c r="U86" s="3">
        <f t="shared" si="37"/>
        <v>17964.00842687665</v>
      </c>
      <c r="V86" s="3">
        <f t="shared" si="38"/>
        <v>9566.123841404571</v>
      </c>
      <c r="W86" s="3">
        <f t="shared" si="39"/>
        <v>4526.459819006065</v>
      </c>
      <c r="X86" s="3">
        <f t="shared" si="40"/>
        <v>15553.058045790945</v>
      </c>
      <c r="Y86" s="3">
        <f t="shared" si="41"/>
        <v>8306.207835804946</v>
      </c>
      <c r="Z86" s="3">
        <f t="shared" si="42"/>
        <v>3686.515815272982</v>
      </c>
      <c r="AA86" s="3">
        <f t="shared" si="45"/>
        <v>39563</v>
      </c>
      <c r="AB86" s="49"/>
      <c r="AC86" s="49"/>
      <c r="AD86" s="49"/>
      <c r="AE86" t="s">
        <v>900</v>
      </c>
      <c r="AI86" t="str">
        <f t="shared" si="46"/>
        <v>SLOVENIA (EUR)</v>
      </c>
      <c r="AJ86" t="str">
        <f t="shared" si="47"/>
        <v>7449 5049 2659 </v>
      </c>
      <c r="AK86">
        <v>7449</v>
      </c>
      <c r="AL86">
        <v>5049</v>
      </c>
      <c r="AM86">
        <v>2659</v>
      </c>
      <c r="AO86" t="s">
        <v>686</v>
      </c>
      <c r="AS86" t="str">
        <f t="shared" si="48"/>
        <v>SLOVENIA (EUR)</v>
      </c>
      <c r="AT86" t="str">
        <f t="shared" si="49"/>
        <v>6349 4299 2269 </v>
      </c>
      <c r="AU86">
        <v>6349</v>
      </c>
      <c r="AV86">
        <v>4299</v>
      </c>
      <c r="AW86">
        <v>2269</v>
      </c>
      <c r="AY86" t="s">
        <v>555</v>
      </c>
      <c r="BC86" t="str">
        <f t="shared" si="50"/>
        <v>SLOVENIA (EUR)</v>
      </c>
      <c r="BD86" t="str">
        <f t="shared" si="51"/>
        <v>5549 3799 1969 </v>
      </c>
      <c r="BE86">
        <v>5549</v>
      </c>
      <c r="BF86">
        <v>3799</v>
      </c>
      <c r="BG86">
        <v>1969</v>
      </c>
      <c r="BJ86" t="str">
        <f t="shared" si="43"/>
        <v>SLOVENIA                      15553     8306     3687</v>
      </c>
    </row>
    <row r="87" spans="1:62" ht="12.75">
      <c r="A87" t="s">
        <v>844</v>
      </c>
      <c r="B87">
        <v>49</v>
      </c>
      <c r="C87" t="s">
        <v>843</v>
      </c>
      <c r="D87">
        <v>61480</v>
      </c>
      <c r="E87">
        <v>43800</v>
      </c>
      <c r="G87">
        <v>52380</v>
      </c>
      <c r="H87">
        <v>37310</v>
      </c>
      <c r="J87">
        <v>45540</v>
      </c>
      <c r="K87">
        <v>32440</v>
      </c>
      <c r="L87">
        <v>17300</v>
      </c>
      <c r="M87" t="str">
        <f t="shared" si="32"/>
        <v>ZAR</v>
      </c>
      <c r="N87">
        <v>39563</v>
      </c>
      <c r="O87">
        <f t="shared" si="33"/>
        <v>91</v>
      </c>
      <c r="P87" s="3">
        <f>HLOOKUP(STclid,$R$7:$Z$104,ROWS($X$10:X87)+3,FALSE)</f>
        <v>6903.009042881221</v>
      </c>
      <c r="Q87" t="str">
        <f t="shared" si="44"/>
        <v>South Africa</v>
      </c>
      <c r="R87" s="3">
        <f t="shared" si="34"/>
        <v>8102.255230991552</v>
      </c>
      <c r="S87" s="3">
        <f t="shared" si="35"/>
        <v>5772.291208377195</v>
      </c>
      <c r="T87" s="3">
        <f t="shared" si="36"/>
        <v>0.09527000000000001</v>
      </c>
      <c r="U87" s="3">
        <f t="shared" si="37"/>
        <v>6903.009042881221</v>
      </c>
      <c r="V87" s="3">
        <f t="shared" si="38"/>
        <v>4917.004641252355</v>
      </c>
      <c r="W87" s="3">
        <f t="shared" si="39"/>
        <v>0.09527000000000001</v>
      </c>
      <c r="X87" s="3">
        <f t="shared" si="40"/>
        <v>6001.597622367522</v>
      </c>
      <c r="Y87" s="3">
        <f t="shared" si="41"/>
        <v>4275.210252670233</v>
      </c>
      <c r="Z87" s="3">
        <f t="shared" si="42"/>
        <v>2279.980880363596</v>
      </c>
      <c r="AA87" s="3">
        <f t="shared" si="45"/>
        <v>39563</v>
      </c>
      <c r="AB87" s="49"/>
      <c r="AC87" s="49"/>
      <c r="AD87" s="49"/>
      <c r="AE87" t="s">
        <v>901</v>
      </c>
      <c r="AI87" t="str">
        <f t="shared" si="46"/>
        <v>SOUTH AFRICA (ZAR)</v>
      </c>
      <c r="AJ87" t="str">
        <f t="shared" si="47"/>
        <v>61480 43800 23350 </v>
      </c>
      <c r="AK87">
        <v>61480</v>
      </c>
      <c r="AL87">
        <v>43800</v>
      </c>
      <c r="AM87">
        <v>23350</v>
      </c>
      <c r="AO87" t="s">
        <v>687</v>
      </c>
      <c r="AS87" t="str">
        <f t="shared" si="48"/>
        <v>SOUTH AFRICA (ZAR)</v>
      </c>
      <c r="AT87" t="str">
        <f t="shared" si="49"/>
        <v>52380 37310 19890 </v>
      </c>
      <c r="AU87">
        <v>52380</v>
      </c>
      <c r="AV87">
        <v>37310</v>
      </c>
      <c r="AW87">
        <v>19890</v>
      </c>
      <c r="AY87" t="s">
        <v>556</v>
      </c>
      <c r="BC87" t="str">
        <f t="shared" si="50"/>
        <v>SOUTH AFRICA (ZAR)</v>
      </c>
      <c r="BD87" t="str">
        <f t="shared" si="51"/>
        <v>45540 32440 17300 </v>
      </c>
      <c r="BE87">
        <v>45540</v>
      </c>
      <c r="BF87">
        <v>32440</v>
      </c>
      <c r="BG87">
        <v>17300</v>
      </c>
      <c r="BJ87" t="str">
        <f t="shared" si="43"/>
        <v>SOUTH AFRICA                  6002     4275     2280</v>
      </c>
    </row>
    <row r="88" spans="1:62" ht="12.75">
      <c r="A88" t="s">
        <v>845</v>
      </c>
      <c r="C88" t="s">
        <v>844</v>
      </c>
      <c r="D88">
        <v>14987600</v>
      </c>
      <c r="E88">
        <v>7676500</v>
      </c>
      <c r="F88">
        <v>4317900</v>
      </c>
      <c r="G88">
        <v>12767200</v>
      </c>
      <c r="H88">
        <v>6539200</v>
      </c>
      <c r="I88">
        <v>3678200</v>
      </c>
      <c r="J88">
        <v>11101800</v>
      </c>
      <c r="K88">
        <v>5686200</v>
      </c>
      <c r="L88">
        <v>3198500</v>
      </c>
      <c r="M88" t="str">
        <f t="shared" si="32"/>
        <v>KRW</v>
      </c>
      <c r="N88">
        <v>39563</v>
      </c>
      <c r="O88">
        <f aca="true" t="shared" si="52" ref="O88:O103">RANK(P88,$P$10:$P$103)</f>
        <v>46</v>
      </c>
      <c r="P88" s="3">
        <f>HLOOKUP(STclid,$R$7:$Z$104,ROWS($X$10:X88)+3,FALSE)</f>
        <v>12625.629345209152</v>
      </c>
      <c r="Q88" t="str">
        <f t="shared" si="44"/>
        <v>S. Korea</v>
      </c>
      <c r="R88" s="3">
        <f t="shared" si="34"/>
        <v>14821.39287836712</v>
      </c>
      <c r="S88" s="3">
        <f t="shared" si="35"/>
        <v>7591.413249799647</v>
      </c>
      <c r="T88" s="3">
        <f t="shared" si="36"/>
        <v>4270.078624297778</v>
      </c>
      <c r="U88" s="3">
        <f t="shared" si="37"/>
        <v>12625.629345209152</v>
      </c>
      <c r="V88" s="3">
        <f t="shared" si="38"/>
        <v>6466.73217149819</v>
      </c>
      <c r="W88" s="3">
        <f t="shared" si="39"/>
        <v>3637.4764210185717</v>
      </c>
      <c r="X88" s="3">
        <f t="shared" si="40"/>
        <v>10978.707804891515</v>
      </c>
      <c r="Y88" s="3">
        <f t="shared" si="41"/>
        <v>5623.1966401598065</v>
      </c>
      <c r="Z88" s="3">
        <f t="shared" si="42"/>
        <v>3163.0989363960366</v>
      </c>
      <c r="AA88" s="3">
        <f t="shared" si="45"/>
        <v>39563</v>
      </c>
      <c r="AB88" s="49"/>
      <c r="AC88" s="49"/>
      <c r="AD88" s="49"/>
      <c r="AE88" t="s">
        <v>902</v>
      </c>
      <c r="AI88" t="str">
        <f t="shared" si="46"/>
        <v>S. KOREA (KRW)</v>
      </c>
      <c r="AJ88" t="str">
        <f t="shared" si="47"/>
        <v>10380900 6962700 4112200 </v>
      </c>
      <c r="AK88">
        <v>10380900</v>
      </c>
      <c r="AL88">
        <v>6962700</v>
      </c>
      <c r="AM88">
        <v>4112200</v>
      </c>
      <c r="AO88" t="s">
        <v>688</v>
      </c>
      <c r="AS88" t="str">
        <f t="shared" si="48"/>
        <v>S. KOREA (KRW)</v>
      </c>
      <c r="AT88" t="str">
        <f t="shared" si="49"/>
        <v>8843000 5931200 3503000 </v>
      </c>
      <c r="AU88">
        <v>8843000</v>
      </c>
      <c r="AV88">
        <v>5931200</v>
      </c>
      <c r="AW88">
        <v>3503000</v>
      </c>
      <c r="AY88" t="s">
        <v>557</v>
      </c>
      <c r="BC88" t="str">
        <f t="shared" si="50"/>
        <v>S. KOREA (KRW)</v>
      </c>
      <c r="BD88" t="str">
        <f t="shared" si="51"/>
        <v>7689500 5157500 3046100 </v>
      </c>
      <c r="BE88">
        <v>7689500</v>
      </c>
      <c r="BF88">
        <v>5157500</v>
      </c>
      <c r="BG88">
        <v>3046100</v>
      </c>
      <c r="BJ88" t="str">
        <f aca="true" t="shared" si="53" ref="BJ88:BJ98">LEFT(C93,LEN(C93)-6)&amp;REPT(" ",30-LEN(C93)+6)&amp;ROUND(X93,0)&amp;"     "&amp;ROUND(Y93,0)&amp;"     "&amp;ROUND(Z93,0)</f>
        <v>SYRIA                         6221     4441     2277</v>
      </c>
    </row>
    <row r="89" spans="1:62" ht="12.75">
      <c r="A89" t="s">
        <v>846</v>
      </c>
      <c r="C89" t="s">
        <v>845</v>
      </c>
      <c r="D89">
        <v>14293</v>
      </c>
      <c r="E89">
        <v>7749</v>
      </c>
      <c r="F89">
        <v>3569</v>
      </c>
      <c r="G89">
        <v>12127</v>
      </c>
      <c r="H89">
        <v>6559</v>
      </c>
      <c r="I89">
        <v>3049</v>
      </c>
      <c r="J89">
        <v>10539</v>
      </c>
      <c r="K89">
        <v>5669</v>
      </c>
      <c r="L89">
        <v>2519</v>
      </c>
      <c r="M89" t="str">
        <f t="shared" si="32"/>
        <v>EUR</v>
      </c>
      <c r="N89">
        <v>39563</v>
      </c>
      <c r="O89">
        <f t="shared" si="52"/>
        <v>5</v>
      </c>
      <c r="P89" s="3">
        <f>HLOOKUP(STclid,$R$7:$Z$104,ROWS($X$10:X89)+3,FALSE)</f>
        <v>18863.059861242804</v>
      </c>
      <c r="Q89" t="str">
        <f t="shared" si="44"/>
        <v>Spain</v>
      </c>
      <c r="R89" s="3">
        <f t="shared" si="34"/>
        <v>22232.16858732773</v>
      </c>
      <c r="S89" s="3">
        <f t="shared" si="35"/>
        <v>12053.291623569761</v>
      </c>
      <c r="T89" s="3">
        <f t="shared" si="36"/>
        <v>5551.502853932181</v>
      </c>
      <c r="U89" s="3">
        <f t="shared" si="37"/>
        <v>18863.059861242804</v>
      </c>
      <c r="V89" s="3">
        <f t="shared" si="38"/>
        <v>10202.303911639445</v>
      </c>
      <c r="W89" s="3">
        <f t="shared" si="39"/>
        <v>4742.667887374397</v>
      </c>
      <c r="X89" s="3">
        <f t="shared" si="40"/>
        <v>16393.002309524032</v>
      </c>
      <c r="Y89" s="3">
        <f t="shared" si="41"/>
        <v>8817.951757338622</v>
      </c>
      <c r="Z89" s="3">
        <f t="shared" si="42"/>
        <v>3918.278402228962</v>
      </c>
      <c r="AA89" s="3">
        <f t="shared" si="45"/>
        <v>39563</v>
      </c>
      <c r="AB89" s="49"/>
      <c r="AC89" s="49"/>
      <c r="AD89" s="49"/>
      <c r="AE89" t="s">
        <v>906</v>
      </c>
      <c r="AI89" t="str">
        <f t="shared" si="46"/>
        <v>SPAIN (EUR)</v>
      </c>
      <c r="AJ89" t="str">
        <f t="shared" si="47"/>
        <v>9899 6499 3249 </v>
      </c>
      <c r="AK89">
        <v>9899</v>
      </c>
      <c r="AL89">
        <v>6499</v>
      </c>
      <c r="AM89">
        <v>3249</v>
      </c>
      <c r="AO89" t="s">
        <v>689</v>
      </c>
      <c r="AS89" t="str">
        <f t="shared" si="48"/>
        <v>SPAIN (EUR)</v>
      </c>
      <c r="AT89" t="str">
        <f t="shared" si="49"/>
        <v>8399 5549 2749 </v>
      </c>
      <c r="AU89">
        <v>8399</v>
      </c>
      <c r="AV89">
        <v>5549</v>
      </c>
      <c r="AW89">
        <v>2749</v>
      </c>
      <c r="AY89" t="s">
        <v>558</v>
      </c>
      <c r="BC89" t="str">
        <f t="shared" si="50"/>
        <v>SPAIN (EUR)</v>
      </c>
      <c r="BD89" t="str">
        <f t="shared" si="51"/>
        <v>7299 4799 2399 </v>
      </c>
      <c r="BE89">
        <v>7299</v>
      </c>
      <c r="BF89">
        <v>4799</v>
      </c>
      <c r="BG89">
        <v>2399</v>
      </c>
      <c r="BJ89" t="str">
        <f t="shared" si="53"/>
        <v>TAIWAN                        10189     6890     3217</v>
      </c>
    </row>
    <row r="90" spans="1:62" ht="12.75">
      <c r="A90" t="s">
        <v>847</v>
      </c>
      <c r="C90" t="s">
        <v>846</v>
      </c>
      <c r="D90">
        <v>1297521.551724138</v>
      </c>
      <c r="E90">
        <v>898706.8965517242</v>
      </c>
      <c r="F90">
        <v>452478.4482758621</v>
      </c>
      <c r="G90">
        <v>1105280.1724137932</v>
      </c>
      <c r="H90">
        <v>766271.551724138</v>
      </c>
      <c r="I90">
        <v>385344.8275862069</v>
      </c>
      <c r="J90">
        <v>960991.3793103448</v>
      </c>
      <c r="K90">
        <v>665517.2413793104</v>
      </c>
      <c r="L90">
        <v>335344.8275862069</v>
      </c>
      <c r="M90" t="str">
        <f t="shared" si="32"/>
        <v>LKR</v>
      </c>
      <c r="N90">
        <v>39563</v>
      </c>
      <c r="O90">
        <f t="shared" si="52"/>
        <v>59</v>
      </c>
      <c r="P90" s="3">
        <f>HLOOKUP(STclid,$R$7:$Z$104,ROWS($X$10:X90)+3,FALSE)</f>
        <v>10234.171120498086</v>
      </c>
      <c r="Q90" t="str">
        <f t="shared" si="44"/>
        <v>Sri Lanka</v>
      </c>
      <c r="R90" s="3">
        <f t="shared" si="34"/>
        <v>12014.183891890167</v>
      </c>
      <c r="S90" s="3">
        <f t="shared" si="35"/>
        <v>8321.455603256705</v>
      </c>
      <c r="T90" s="3">
        <f t="shared" si="36"/>
        <v>4189.710711813537</v>
      </c>
      <c r="U90" s="3">
        <f t="shared" si="37"/>
        <v>10234.171120498086</v>
      </c>
      <c r="V90" s="3">
        <f t="shared" si="38"/>
        <v>7095.202410408684</v>
      </c>
      <c r="W90" s="3">
        <f t="shared" si="39"/>
        <v>3568.103112835249</v>
      </c>
      <c r="X90" s="3">
        <f t="shared" si="40"/>
        <v>8898.163776947637</v>
      </c>
      <c r="Y90" s="3">
        <f t="shared" si="41"/>
        <v>6162.2921294380585</v>
      </c>
      <c r="Z90" s="3">
        <f t="shared" si="42"/>
        <v>3105.1401498722857</v>
      </c>
      <c r="AA90" s="3">
        <f t="shared" si="45"/>
        <v>39563</v>
      </c>
      <c r="AB90" s="49"/>
      <c r="AC90" s="49"/>
      <c r="AD90" s="49"/>
      <c r="AE90" t="s">
        <v>907</v>
      </c>
      <c r="AI90" t="str">
        <f t="shared" si="46"/>
        <v>SRI LANKA (LKR)</v>
      </c>
      <c r="AJ90" t="str">
        <f t="shared" si="47"/>
        <v>899300 551400 318000 </v>
      </c>
      <c r="AK90">
        <v>899300</v>
      </c>
      <c r="AL90">
        <v>551400</v>
      </c>
      <c r="AM90">
        <v>318000</v>
      </c>
      <c r="AO90" t="s">
        <v>690</v>
      </c>
      <c r="AS90" t="str">
        <f t="shared" si="48"/>
        <v>SRI LANKA (LKR)</v>
      </c>
      <c r="AT90" t="str">
        <f t="shared" si="49"/>
        <v>766100 469700 270900 </v>
      </c>
      <c r="AU90">
        <v>766100</v>
      </c>
      <c r="AV90">
        <v>469700</v>
      </c>
      <c r="AW90">
        <v>270900</v>
      </c>
      <c r="AY90" t="s">
        <v>559</v>
      </c>
      <c r="BC90" t="str">
        <f t="shared" si="50"/>
        <v>SRI LANKA (LKR)</v>
      </c>
      <c r="BD90" t="str">
        <f t="shared" si="51"/>
        <v>666100 408400 235600 </v>
      </c>
      <c r="BE90">
        <v>666100</v>
      </c>
      <c r="BF90">
        <v>408400</v>
      </c>
      <c r="BG90">
        <v>235600</v>
      </c>
      <c r="BJ90" t="str">
        <f t="shared" si="53"/>
        <v>THAILAND                      11546     6934     3321</v>
      </c>
    </row>
    <row r="91" spans="1:62" ht="12.75">
      <c r="A91" t="s">
        <v>848</v>
      </c>
      <c r="C91" t="s">
        <v>847</v>
      </c>
      <c r="D91">
        <v>68940</v>
      </c>
      <c r="E91">
        <v>45730</v>
      </c>
      <c r="G91">
        <v>58720</v>
      </c>
      <c r="H91">
        <v>38960</v>
      </c>
      <c r="J91">
        <v>51060</v>
      </c>
      <c r="K91">
        <v>33870</v>
      </c>
      <c r="L91">
        <v>18150</v>
      </c>
      <c r="M91" t="str">
        <f t="shared" si="32"/>
        <v>SEK</v>
      </c>
      <c r="N91">
        <v>39563</v>
      </c>
      <c r="O91">
        <f t="shared" si="52"/>
        <v>61</v>
      </c>
      <c r="P91" s="3">
        <f>HLOOKUP(STclid,$R$7:$Z$104,ROWS($X$10:X91)+3,FALSE)</f>
        <v>9740.818833543952</v>
      </c>
      <c r="Q91" t="str">
        <f t="shared" si="44"/>
        <v>Sweden</v>
      </c>
      <c r="R91" s="3">
        <f t="shared" si="34"/>
        <v>11436.155827389646</v>
      </c>
      <c r="S91" s="3">
        <f t="shared" si="35"/>
        <v>7585.982478352604</v>
      </c>
      <c r="T91" s="3">
        <f t="shared" si="36"/>
        <v>0.09591000000000001</v>
      </c>
      <c r="U91" s="3">
        <f t="shared" si="37"/>
        <v>9740.818833543952</v>
      </c>
      <c r="V91" s="3">
        <f t="shared" si="38"/>
        <v>6462.946133114311</v>
      </c>
      <c r="W91" s="3">
        <f t="shared" si="39"/>
        <v>0.09591000000000001</v>
      </c>
      <c r="X91" s="3">
        <f t="shared" si="40"/>
        <v>8470.145509389546</v>
      </c>
      <c r="Y91" s="3">
        <f t="shared" si="41"/>
        <v>5618.595321110926</v>
      </c>
      <c r="Z91" s="3">
        <f t="shared" si="42"/>
        <v>3010.8949744128527</v>
      </c>
      <c r="AA91" s="3">
        <f t="shared" si="45"/>
        <v>39563</v>
      </c>
      <c r="AB91" s="49"/>
      <c r="AC91" s="49"/>
      <c r="AD91" s="49"/>
      <c r="AE91" t="s">
        <v>908</v>
      </c>
      <c r="AI91" t="str">
        <f t="shared" si="46"/>
        <v>SWEDEN (SEK)</v>
      </c>
      <c r="AJ91" t="str">
        <f t="shared" si="47"/>
        <v>68940 45730 24500 </v>
      </c>
      <c r="AK91">
        <v>68940</v>
      </c>
      <c r="AL91">
        <v>45730</v>
      </c>
      <c r="AM91">
        <v>24500</v>
      </c>
      <c r="AO91" t="s">
        <v>691</v>
      </c>
      <c r="AS91" t="str">
        <f t="shared" si="48"/>
        <v>SWEDEN (SEK)</v>
      </c>
      <c r="AT91" t="str">
        <f t="shared" si="49"/>
        <v>58720 38960 20870 </v>
      </c>
      <c r="AU91">
        <v>58720</v>
      </c>
      <c r="AV91">
        <v>38960</v>
      </c>
      <c r="AW91">
        <v>20870</v>
      </c>
      <c r="AY91" t="s">
        <v>560</v>
      </c>
      <c r="BC91" t="str">
        <f t="shared" si="50"/>
        <v>SWEDEN (SEK)</v>
      </c>
      <c r="BD91" t="str">
        <f t="shared" si="51"/>
        <v>51060 33870 18150 </v>
      </c>
      <c r="BE91">
        <v>51060</v>
      </c>
      <c r="BF91">
        <v>33870</v>
      </c>
      <c r="BG91">
        <v>18150</v>
      </c>
      <c r="BJ91" t="str">
        <f t="shared" si="53"/>
        <v>TONGA                         9233     6372     2565</v>
      </c>
    </row>
    <row r="92" spans="1:62" ht="12.75">
      <c r="A92" t="s">
        <v>849</v>
      </c>
      <c r="C92" t="s">
        <v>848</v>
      </c>
      <c r="D92">
        <v>22500</v>
      </c>
      <c r="E92">
        <v>12800</v>
      </c>
      <c r="F92">
        <v>5900</v>
      </c>
      <c r="G92">
        <v>19000</v>
      </c>
      <c r="H92">
        <v>10800</v>
      </c>
      <c r="I92">
        <v>5100</v>
      </c>
      <c r="J92">
        <v>16600</v>
      </c>
      <c r="K92">
        <v>9400</v>
      </c>
      <c r="L92">
        <v>4200</v>
      </c>
      <c r="M92" t="str">
        <f t="shared" si="32"/>
        <v>CHF</v>
      </c>
      <c r="N92">
        <v>39563</v>
      </c>
      <c r="O92">
        <f t="shared" si="52"/>
        <v>23</v>
      </c>
      <c r="P92" s="3">
        <f>HLOOKUP(STclid,$R$7:$Z$104,ROWS($X$10:X92)+3,FALSE)</f>
        <v>18250.023910810683</v>
      </c>
      <c r="Q92" t="str">
        <f t="shared" si="44"/>
        <v>Switzerland</v>
      </c>
      <c r="R92" s="3">
        <f t="shared" si="34"/>
        <v>21611.852745696862</v>
      </c>
      <c r="S92" s="3">
        <f t="shared" si="35"/>
        <v>12294.784260440882</v>
      </c>
      <c r="T92" s="3">
        <f t="shared" si="36"/>
        <v>5667.178843093843</v>
      </c>
      <c r="U92" s="3">
        <f t="shared" si="37"/>
        <v>18250.023910810683</v>
      </c>
      <c r="V92" s="3">
        <f t="shared" si="38"/>
        <v>10373.739211934495</v>
      </c>
      <c r="W92" s="3">
        <f t="shared" si="39"/>
        <v>4898.760823691288</v>
      </c>
      <c r="X92" s="3">
        <f t="shared" si="40"/>
        <v>15944.769852603018</v>
      </c>
      <c r="Y92" s="3">
        <f t="shared" si="41"/>
        <v>9029.007677980024</v>
      </c>
      <c r="Z92" s="3">
        <f t="shared" si="42"/>
        <v>4034.290551863414</v>
      </c>
      <c r="AA92" s="3">
        <f t="shared" si="45"/>
        <v>39563</v>
      </c>
      <c r="AB92" s="49"/>
      <c r="AC92" s="49"/>
      <c r="AD92" s="49"/>
      <c r="AE92" t="s">
        <v>909</v>
      </c>
      <c r="AI92" t="str">
        <f t="shared" si="46"/>
        <v>SWITZERLAND (CHF)</v>
      </c>
      <c r="AJ92" t="str">
        <f t="shared" si="47"/>
        <v>14130 9470 4920 </v>
      </c>
      <c r="AK92">
        <v>14130</v>
      </c>
      <c r="AL92">
        <v>9470</v>
      </c>
      <c r="AM92">
        <v>4920</v>
      </c>
      <c r="AO92" t="s">
        <v>692</v>
      </c>
      <c r="AS92" t="str">
        <f t="shared" si="48"/>
        <v>SWITZERLAND (CHF)</v>
      </c>
      <c r="AT92" t="str">
        <f t="shared" si="49"/>
        <v>12030 8070 4190 </v>
      </c>
      <c r="AU92">
        <v>12030</v>
      </c>
      <c r="AV92">
        <v>8070</v>
      </c>
      <c r="AW92">
        <v>4190</v>
      </c>
      <c r="AY92" t="s">
        <v>561</v>
      </c>
      <c r="BC92" t="str">
        <f t="shared" si="50"/>
        <v>SWITZERLAND (CHF)</v>
      </c>
      <c r="BD92" t="str">
        <f t="shared" si="51"/>
        <v>10460 7010 3650 </v>
      </c>
      <c r="BE92">
        <v>10460</v>
      </c>
      <c r="BF92">
        <v>7010</v>
      </c>
      <c r="BG92">
        <v>3650</v>
      </c>
      <c r="BJ92" t="str">
        <f t="shared" si="53"/>
        <v>TUNISIA                       9888     21615     4050</v>
      </c>
    </row>
    <row r="93" spans="1:62" ht="12.75">
      <c r="A93" t="s">
        <v>850</v>
      </c>
      <c r="B93">
        <v>68</v>
      </c>
      <c r="C93" t="s">
        <v>849</v>
      </c>
      <c r="D93">
        <v>434200</v>
      </c>
      <c r="E93">
        <v>310000</v>
      </c>
      <c r="F93">
        <v>158800</v>
      </c>
      <c r="G93">
        <v>369900</v>
      </c>
      <c r="H93">
        <v>264100</v>
      </c>
      <c r="I93">
        <v>135300</v>
      </c>
      <c r="J93">
        <v>321600</v>
      </c>
      <c r="K93">
        <v>229600</v>
      </c>
      <c r="L93">
        <v>117700</v>
      </c>
      <c r="M93" t="str">
        <f t="shared" si="32"/>
        <v>SYP</v>
      </c>
      <c r="N93" t="s">
        <v>493</v>
      </c>
      <c r="O93">
        <f t="shared" si="52"/>
        <v>90</v>
      </c>
      <c r="P93" s="3">
        <f>HLOOKUP(STclid,$R$7:$Z$104,ROWS($X$10:X93)+3,FALSE)</f>
        <v>7155.1119079175205</v>
      </c>
      <c r="Q93" t="str">
        <f t="shared" si="44"/>
        <v>Syria</v>
      </c>
      <c r="R93" s="3">
        <f t="shared" si="34"/>
        <v>8398.873755571201</v>
      </c>
      <c r="S93" s="3">
        <f t="shared" si="35"/>
        <v>5996.459735686486</v>
      </c>
      <c r="T93" s="3">
        <f t="shared" si="36"/>
        <v>3071.7817984355293</v>
      </c>
      <c r="U93" s="3">
        <f t="shared" si="37"/>
        <v>7155.1119079175205</v>
      </c>
      <c r="V93" s="3">
        <f t="shared" si="38"/>
        <v>5108.611076163875</v>
      </c>
      <c r="W93" s="3">
        <f t="shared" si="39"/>
        <v>2617.218759246392</v>
      </c>
      <c r="X93" s="3">
        <f t="shared" si="40"/>
        <v>6220.839789073464</v>
      </c>
      <c r="Y93" s="3">
        <f t="shared" si="41"/>
        <v>4441.27384841812</v>
      </c>
      <c r="Z93" s="3">
        <f t="shared" si="42"/>
        <v>2276.7800575558044</v>
      </c>
      <c r="AA93" s="3" t="str">
        <f t="shared" si="45"/>
        <v>old</v>
      </c>
      <c r="AB93" s="49"/>
      <c r="AC93" s="49"/>
      <c r="AD93" s="49"/>
      <c r="AE93" t="s">
        <v>910</v>
      </c>
      <c r="AI93" t="str">
        <f t="shared" si="46"/>
        <v>SYRIA (SYP)</v>
      </c>
      <c r="AJ93" t="str">
        <f t="shared" si="47"/>
        <v>434200 310000 158800 </v>
      </c>
      <c r="AK93">
        <v>434200</v>
      </c>
      <c r="AL93">
        <v>310000</v>
      </c>
      <c r="AM93">
        <v>158800</v>
      </c>
      <c r="AO93" t="s">
        <v>693</v>
      </c>
      <c r="AS93" t="str">
        <f t="shared" si="48"/>
        <v>SYRIA (SYP)</v>
      </c>
      <c r="AT93" t="str">
        <f t="shared" si="49"/>
        <v>369900 264100 135300 </v>
      </c>
      <c r="AU93">
        <v>369900</v>
      </c>
      <c r="AV93">
        <v>264100</v>
      </c>
      <c r="AW93">
        <v>135300</v>
      </c>
      <c r="AY93" t="s">
        <v>562</v>
      </c>
      <c r="BC93" t="str">
        <f t="shared" si="50"/>
        <v>SYRIA (SYP)</v>
      </c>
      <c r="BD93" t="str">
        <f t="shared" si="51"/>
        <v>321600 229600 117700 </v>
      </c>
      <c r="BE93">
        <v>321600</v>
      </c>
      <c r="BF93">
        <v>229600</v>
      </c>
      <c r="BG93">
        <v>117700</v>
      </c>
      <c r="BJ93" t="str">
        <f t="shared" si="53"/>
        <v>TURKEY                        16020     9029     4012</v>
      </c>
    </row>
    <row r="94" spans="1:62" ht="12.75">
      <c r="A94" t="s">
        <v>851</v>
      </c>
      <c r="B94">
        <v>80</v>
      </c>
      <c r="C94" t="s">
        <v>850</v>
      </c>
      <c r="D94">
        <v>419554</v>
      </c>
      <c r="E94">
        <v>283700</v>
      </c>
      <c r="F94">
        <v>138900</v>
      </c>
      <c r="G94">
        <v>357329</v>
      </c>
      <c r="H94">
        <v>241700</v>
      </c>
      <c r="I94">
        <v>118400</v>
      </c>
      <c r="J94">
        <v>310695</v>
      </c>
      <c r="K94">
        <v>210100</v>
      </c>
      <c r="L94">
        <v>98100</v>
      </c>
      <c r="M94" t="str">
        <f t="shared" si="32"/>
        <v>TWD</v>
      </c>
      <c r="N94">
        <v>39563</v>
      </c>
      <c r="O94">
        <f t="shared" si="52"/>
        <v>51</v>
      </c>
      <c r="P94" s="3">
        <f>HLOOKUP(STclid,$R$7:$Z$104,ROWS($X$10:X94)+3,FALSE)</f>
        <v>11718.335418472523</v>
      </c>
      <c r="Q94" t="str">
        <f t="shared" si="44"/>
        <v>Taiwan</v>
      </c>
      <c r="R94" s="3">
        <f t="shared" si="34"/>
        <v>13758.940926549682</v>
      </c>
      <c r="S94" s="3">
        <f t="shared" si="35"/>
        <v>9303.74734367601</v>
      </c>
      <c r="T94" s="3">
        <f t="shared" si="36"/>
        <v>4555.178800974964</v>
      </c>
      <c r="U94" s="3">
        <f t="shared" si="37"/>
        <v>11718.335418472523</v>
      </c>
      <c r="V94" s="3">
        <f t="shared" si="38"/>
        <v>7926.400114439517</v>
      </c>
      <c r="W94" s="3">
        <f t="shared" si="39"/>
        <v>3882.9021771809635</v>
      </c>
      <c r="X94" s="3">
        <f t="shared" si="40"/>
        <v>10189.02087827694</v>
      </c>
      <c r="Y94" s="3">
        <f t="shared" si="41"/>
        <v>6890.110294347301</v>
      </c>
      <c r="Z94" s="3">
        <f t="shared" si="42"/>
        <v>3217.1843497166597</v>
      </c>
      <c r="AA94" s="3">
        <f t="shared" si="45"/>
        <v>39563</v>
      </c>
      <c r="AB94" s="49"/>
      <c r="AC94" s="49"/>
      <c r="AD94" s="49"/>
      <c r="AE94" t="s">
        <v>911</v>
      </c>
      <c r="AI94" t="str">
        <f t="shared" si="46"/>
        <v>TAIWAN (TWD)</v>
      </c>
      <c r="AJ94" t="str">
        <f t="shared" si="47"/>
        <v>290600 207900 111500 </v>
      </c>
      <c r="AK94">
        <v>290600</v>
      </c>
      <c r="AL94">
        <v>207900</v>
      </c>
      <c r="AM94">
        <v>111500</v>
      </c>
      <c r="AO94" t="s">
        <v>694</v>
      </c>
      <c r="AS94" t="str">
        <f t="shared" si="48"/>
        <v>TAIWAN (TWD)</v>
      </c>
      <c r="AT94" t="str">
        <f t="shared" si="49"/>
        <v>247500 177100 94900 </v>
      </c>
      <c r="AU94">
        <v>247500</v>
      </c>
      <c r="AV94">
        <v>177100</v>
      </c>
      <c r="AW94">
        <v>94900</v>
      </c>
      <c r="AY94" t="s">
        <v>563</v>
      </c>
      <c r="BC94" t="str">
        <f t="shared" si="50"/>
        <v>TAIWAN (TWD)</v>
      </c>
      <c r="BD94" t="str">
        <f t="shared" si="51"/>
        <v>215200 154000 82600 </v>
      </c>
      <c r="BE94">
        <v>215200</v>
      </c>
      <c r="BF94">
        <v>154000</v>
      </c>
      <c r="BG94">
        <v>82600</v>
      </c>
      <c r="BJ94" t="str">
        <f t="shared" si="53"/>
        <v>UAE                           13432     7124     3159</v>
      </c>
    </row>
    <row r="95" spans="1:62" ht="12.75">
      <c r="A95" t="s">
        <v>852</v>
      </c>
      <c r="B95">
        <v>24</v>
      </c>
      <c r="C95" t="s">
        <v>851</v>
      </c>
      <c r="D95">
        <v>497365</v>
      </c>
      <c r="E95">
        <v>298720</v>
      </c>
      <c r="F95">
        <v>144080</v>
      </c>
      <c r="G95">
        <v>423735</v>
      </c>
      <c r="H95">
        <v>254590</v>
      </c>
      <c r="I95">
        <v>121890</v>
      </c>
      <c r="J95">
        <v>368435</v>
      </c>
      <c r="K95">
        <v>221270</v>
      </c>
      <c r="L95">
        <v>105980</v>
      </c>
      <c r="M95" t="str">
        <f t="shared" si="32"/>
        <v>THB</v>
      </c>
      <c r="N95">
        <v>39563</v>
      </c>
      <c r="O95">
        <f t="shared" si="52"/>
        <v>43</v>
      </c>
      <c r="P95" s="3">
        <f>HLOOKUP(STclid,$R$7:$Z$104,ROWS($X$10:X95)+3,FALSE)</f>
        <v>13279.0782657512</v>
      </c>
      <c r="Q95" t="str">
        <f t="shared" si="44"/>
        <v>Thailand</v>
      </c>
      <c r="R95" s="3">
        <f t="shared" si="34"/>
        <v>15586.49094257554</v>
      </c>
      <c r="S95" s="3">
        <f t="shared" si="35"/>
        <v>9361.365434117428</v>
      </c>
      <c r="T95" s="3">
        <f t="shared" si="36"/>
        <v>4515.266067770619</v>
      </c>
      <c r="U95" s="3">
        <f t="shared" si="37"/>
        <v>13279.0782657512</v>
      </c>
      <c r="V95" s="3">
        <f t="shared" si="38"/>
        <v>7978.422049243627</v>
      </c>
      <c r="W95" s="3">
        <f t="shared" si="39"/>
        <v>3819.8771325712155</v>
      </c>
      <c r="X95" s="3">
        <f t="shared" si="40"/>
        <v>11546.090067620195</v>
      </c>
      <c r="Y95" s="3">
        <f t="shared" si="41"/>
        <v>6934.241818471021</v>
      </c>
      <c r="Z95" s="3">
        <f t="shared" si="42"/>
        <v>3321.290473759926</v>
      </c>
      <c r="AA95" s="3">
        <f t="shared" si="45"/>
        <v>39563</v>
      </c>
      <c r="AB95" s="49"/>
      <c r="AC95" s="49"/>
      <c r="AD95" s="49"/>
      <c r="AE95" t="s">
        <v>912</v>
      </c>
      <c r="AI95" t="str">
        <f t="shared" si="46"/>
        <v>THAILAND (THB)</v>
      </c>
      <c r="AJ95" t="str">
        <f t="shared" si="47"/>
        <v>344490 225890 128390 </v>
      </c>
      <c r="AK95">
        <v>344490</v>
      </c>
      <c r="AL95">
        <v>225890</v>
      </c>
      <c r="AM95">
        <v>128390</v>
      </c>
      <c r="AO95" t="s">
        <v>695</v>
      </c>
      <c r="AS95" t="str">
        <f t="shared" si="48"/>
        <v>THAILAND (THB)</v>
      </c>
      <c r="AT95" t="str">
        <f t="shared" si="49"/>
        <v>293490 192390 109390 </v>
      </c>
      <c r="AU95">
        <v>293490</v>
      </c>
      <c r="AV95">
        <v>192390</v>
      </c>
      <c r="AW95">
        <v>109390</v>
      </c>
      <c r="AY95" t="s">
        <v>564</v>
      </c>
      <c r="BC95" t="str">
        <f t="shared" si="50"/>
        <v>THAILAND (THB)</v>
      </c>
      <c r="BD95" t="str">
        <f t="shared" si="51"/>
        <v>255190 167290 95090 </v>
      </c>
      <c r="BE95">
        <v>255190</v>
      </c>
      <c r="BF95">
        <v>167290</v>
      </c>
      <c r="BG95">
        <v>95090</v>
      </c>
      <c r="BJ95" t="str">
        <f t="shared" si="53"/>
        <v>UKRAINE                       13442     6995     3153</v>
      </c>
    </row>
    <row r="96" spans="1:62" ht="12.75">
      <c r="A96" t="s">
        <v>853</v>
      </c>
      <c r="B96">
        <v>56</v>
      </c>
      <c r="C96" t="s">
        <v>852</v>
      </c>
      <c r="D96">
        <v>25338.775510204083</v>
      </c>
      <c r="E96">
        <v>17487.755102040817</v>
      </c>
      <c r="F96">
        <v>7189.795918367347</v>
      </c>
      <c r="G96">
        <v>22028.571428571428</v>
      </c>
      <c r="H96">
        <v>15204.081632653062</v>
      </c>
      <c r="I96">
        <v>6124.489795918367</v>
      </c>
      <c r="J96">
        <v>19155.102040816328</v>
      </c>
      <c r="K96">
        <v>13220.408163265307</v>
      </c>
      <c r="L96">
        <v>5320.408163265306</v>
      </c>
      <c r="M96" t="str">
        <f t="shared" si="32"/>
        <v>TOP</v>
      </c>
      <c r="N96">
        <v>39563</v>
      </c>
      <c r="O96">
        <f t="shared" si="52"/>
        <v>57</v>
      </c>
      <c r="P96" s="3">
        <f>HLOOKUP(STclid,$R$7:$Z$104,ROWS($X$10:X96)+3,FALSE)</f>
        <v>10617.810292915326</v>
      </c>
      <c r="Q96" t="str">
        <f t="shared" si="44"/>
        <v>Tonga</v>
      </c>
      <c r="R96" s="3">
        <f t="shared" si="34"/>
        <v>12213.320044509608</v>
      </c>
      <c r="S96" s="3">
        <f t="shared" si="35"/>
        <v>8429.148642300486</v>
      </c>
      <c r="T96" s="3">
        <f t="shared" si="36"/>
        <v>3465.559119153298</v>
      </c>
      <c r="U96" s="3">
        <f t="shared" si="37"/>
        <v>10617.810292915326</v>
      </c>
      <c r="V96" s="3">
        <f t="shared" si="38"/>
        <v>7328.423973968796</v>
      </c>
      <c r="W96" s="3">
        <f t="shared" si="39"/>
        <v>2952.084340896692</v>
      </c>
      <c r="X96" s="3">
        <f t="shared" si="40"/>
        <v>9232.805527043103</v>
      </c>
      <c r="Y96" s="3">
        <f t="shared" si="41"/>
        <v>6372.298524801324</v>
      </c>
      <c r="Z96" s="3">
        <f t="shared" si="42"/>
        <v>2564.5190868102886</v>
      </c>
      <c r="AA96" s="3">
        <f t="shared" si="45"/>
        <v>39563</v>
      </c>
      <c r="AB96" s="49"/>
      <c r="AC96" s="49"/>
      <c r="AD96" s="49"/>
      <c r="AE96" t="s">
        <v>913</v>
      </c>
      <c r="AI96" t="str">
        <f t="shared" si="46"/>
        <v>TONGA (TOP)</v>
      </c>
      <c r="AJ96" t="str">
        <f t="shared" si="47"/>
        <v>14360 11450 4560 </v>
      </c>
      <c r="AK96">
        <v>14360</v>
      </c>
      <c r="AL96">
        <v>11450</v>
      </c>
      <c r="AM96">
        <v>4560</v>
      </c>
      <c r="AO96" t="s">
        <v>696</v>
      </c>
      <c r="AS96" t="str">
        <f t="shared" si="48"/>
        <v>TONGA (TOP)</v>
      </c>
      <c r="AT96" t="str">
        <f t="shared" si="49"/>
        <v>12230 9760 3380 </v>
      </c>
      <c r="AU96">
        <v>12230</v>
      </c>
      <c r="AV96">
        <v>9760</v>
      </c>
      <c r="AW96">
        <v>3380</v>
      </c>
      <c r="AY96" t="s">
        <v>565</v>
      </c>
      <c r="BC96" t="str">
        <f t="shared" si="50"/>
        <v>TONGA (TOP)</v>
      </c>
      <c r="BD96" t="str">
        <f t="shared" si="51"/>
        <v>10630 8480 3380 </v>
      </c>
      <c r="BE96">
        <v>10630</v>
      </c>
      <c r="BF96">
        <v>8480</v>
      </c>
      <c r="BG96">
        <v>3380</v>
      </c>
      <c r="BJ96" t="str">
        <f t="shared" si="53"/>
        <v>USA                           11984     7880     4069</v>
      </c>
    </row>
    <row r="97" spans="1:62" ht="12.75">
      <c r="A97" t="s">
        <v>854</v>
      </c>
      <c r="B97">
        <v>33</v>
      </c>
      <c r="C97" t="s">
        <v>853</v>
      </c>
      <c r="D97">
        <v>48444</v>
      </c>
      <c r="E97">
        <v>34497</v>
      </c>
      <c r="F97">
        <v>6434</v>
      </c>
      <c r="G97">
        <v>41268</v>
      </c>
      <c r="H97">
        <v>29391</v>
      </c>
      <c r="I97">
        <v>5447</v>
      </c>
      <c r="J97">
        <v>11689</v>
      </c>
      <c r="K97">
        <v>25553</v>
      </c>
      <c r="L97">
        <v>4788</v>
      </c>
      <c r="M97" t="str">
        <f t="shared" si="32"/>
        <v>TND</v>
      </c>
      <c r="N97" t="s">
        <v>493</v>
      </c>
      <c r="O97">
        <f t="shared" si="52"/>
        <v>1</v>
      </c>
      <c r="P97" s="3">
        <f>HLOOKUP(STclid,$R$7:$Z$104,ROWS($X$10:X97)+3,FALSE)</f>
        <v>34907.89581877856</v>
      </c>
      <c r="Q97" t="str">
        <f t="shared" si="44"/>
        <v>Tunisia</v>
      </c>
      <c r="R97" s="3">
        <f t="shared" si="34"/>
        <v>40977.934729284396</v>
      </c>
      <c r="S97" s="3">
        <f t="shared" si="35"/>
        <v>29180.438535746915</v>
      </c>
      <c r="T97" s="3">
        <f t="shared" si="36"/>
        <v>5442.492333750635</v>
      </c>
      <c r="U97" s="3">
        <f t="shared" si="37"/>
        <v>34907.89581877856</v>
      </c>
      <c r="V97" s="3">
        <f t="shared" si="38"/>
        <v>24861.372387886993</v>
      </c>
      <c r="W97" s="3">
        <f t="shared" si="39"/>
        <v>4607.608219387584</v>
      </c>
      <c r="X97" s="3">
        <f t="shared" si="40"/>
        <v>9887.594685298596</v>
      </c>
      <c r="Y97" s="3">
        <f t="shared" si="41"/>
        <v>21614.8827922179</v>
      </c>
      <c r="Z97" s="3">
        <f t="shared" si="42"/>
        <v>4050.17292925055</v>
      </c>
      <c r="AA97" s="3" t="str">
        <f t="shared" si="45"/>
        <v>old</v>
      </c>
      <c r="AB97" s="49"/>
      <c r="AC97" s="49"/>
      <c r="AD97" s="49"/>
      <c r="AE97" t="s">
        <v>914</v>
      </c>
      <c r="AI97" t="str">
        <f t="shared" si="46"/>
        <v>TUNISIA (TND)</v>
      </c>
      <c r="AJ97" t="str">
        <f t="shared" si="47"/>
        <v>48444 34497 6434 </v>
      </c>
      <c r="AK97">
        <v>48444</v>
      </c>
      <c r="AL97">
        <v>34497</v>
      </c>
      <c r="AM97">
        <v>6434</v>
      </c>
      <c r="AO97" t="s">
        <v>697</v>
      </c>
      <c r="AS97" t="str">
        <f t="shared" si="48"/>
        <v>TUNISIA (TND)</v>
      </c>
      <c r="AT97" t="str">
        <f t="shared" si="49"/>
        <v>41268 29391 5447 </v>
      </c>
      <c r="AU97">
        <v>41268</v>
      </c>
      <c r="AV97">
        <v>29391</v>
      </c>
      <c r="AW97">
        <v>5447</v>
      </c>
      <c r="AY97" t="s">
        <v>566</v>
      </c>
      <c r="BC97" t="str">
        <f t="shared" si="50"/>
        <v>TUNISIA (TND)</v>
      </c>
      <c r="BD97" t="str">
        <f t="shared" si="51"/>
        <v>11689 25553 4788 </v>
      </c>
      <c r="BE97">
        <v>11689</v>
      </c>
      <c r="BF97">
        <v>25553</v>
      </c>
      <c r="BG97">
        <v>4788</v>
      </c>
      <c r="BJ97" t="str">
        <f t="shared" si="53"/>
        <v>VENEZUELA                     8140     6500     2680</v>
      </c>
    </row>
    <row r="98" spans="1:62" ht="12.75">
      <c r="A98" t="s">
        <v>855</v>
      </c>
      <c r="B98">
        <v>88</v>
      </c>
      <c r="C98" t="s">
        <v>854</v>
      </c>
      <c r="D98">
        <v>21706</v>
      </c>
      <c r="E98">
        <v>12341</v>
      </c>
      <c r="F98">
        <v>5684</v>
      </c>
      <c r="G98">
        <v>18393</v>
      </c>
      <c r="H98">
        <v>10446</v>
      </c>
      <c r="I98">
        <v>4856</v>
      </c>
      <c r="J98">
        <v>16020</v>
      </c>
      <c r="K98">
        <v>9029</v>
      </c>
      <c r="L98">
        <v>4012</v>
      </c>
      <c r="M98" t="str">
        <f t="shared" si="32"/>
        <v>USD</v>
      </c>
      <c r="N98">
        <v>39563</v>
      </c>
      <c r="O98">
        <f t="shared" si="52"/>
        <v>22</v>
      </c>
      <c r="P98" s="3">
        <f>HLOOKUP(STclid,$R$7:$Z$104,ROWS($X$10:X98)+3,FALSE)</f>
        <v>18393.09684</v>
      </c>
      <c r="Q98" t="str">
        <f t="shared" si="44"/>
        <v>Turkey</v>
      </c>
      <c r="R98" s="3">
        <f t="shared" si="34"/>
        <v>21706.09684</v>
      </c>
      <c r="S98" s="3">
        <f t="shared" si="35"/>
        <v>12341.09684</v>
      </c>
      <c r="T98" s="3">
        <f t="shared" si="36"/>
        <v>5684.09684</v>
      </c>
      <c r="U98" s="3">
        <f t="shared" si="37"/>
        <v>18393.09684</v>
      </c>
      <c r="V98" s="3">
        <f t="shared" si="38"/>
        <v>10446.09684</v>
      </c>
      <c r="W98" s="3">
        <f t="shared" si="39"/>
        <v>4856.09684</v>
      </c>
      <c r="X98" s="3">
        <f t="shared" si="40"/>
        <v>16020.09684</v>
      </c>
      <c r="Y98" s="3">
        <f t="shared" si="41"/>
        <v>9029.09684</v>
      </c>
      <c r="Z98" s="3">
        <f t="shared" si="42"/>
        <v>4012.0968399999997</v>
      </c>
      <c r="AA98" s="3">
        <f t="shared" si="45"/>
        <v>39563</v>
      </c>
      <c r="AB98" s="49"/>
      <c r="AC98" s="49"/>
      <c r="AD98" s="49"/>
      <c r="AE98" t="s">
        <v>915</v>
      </c>
      <c r="AI98" t="str">
        <f t="shared" si="46"/>
        <v>TURKEY (USD)</v>
      </c>
      <c r="AJ98" t="str">
        <f t="shared" si="47"/>
        <v>8641 5853 3236 </v>
      </c>
      <c r="AK98">
        <v>8641</v>
      </c>
      <c r="AL98">
        <v>5853</v>
      </c>
      <c r="AM98">
        <v>3236</v>
      </c>
      <c r="AO98" t="s">
        <v>698</v>
      </c>
      <c r="AS98" t="str">
        <f t="shared" si="48"/>
        <v>TURKEY (USD)</v>
      </c>
      <c r="AT98" t="str">
        <f t="shared" si="49"/>
        <v>7363 4989 2762 </v>
      </c>
      <c r="AU98">
        <v>7363</v>
      </c>
      <c r="AV98">
        <v>4989</v>
      </c>
      <c r="AW98">
        <v>2762</v>
      </c>
      <c r="AY98" t="s">
        <v>567</v>
      </c>
      <c r="BC98" t="str">
        <f t="shared" si="50"/>
        <v>TURKEY (USD)</v>
      </c>
      <c r="BD98" t="str">
        <f t="shared" si="51"/>
        <v>6401 4332 2397 </v>
      </c>
      <c r="BE98">
        <v>6401</v>
      </c>
      <c r="BF98">
        <v>4332</v>
      </c>
      <c r="BG98">
        <v>2397</v>
      </c>
      <c r="BJ98" t="str">
        <f t="shared" si="53"/>
        <v>VIETNAM                       6389     4739     2749</v>
      </c>
    </row>
    <row r="99" spans="1:59" ht="12.75">
      <c r="A99" t="s">
        <v>856</v>
      </c>
      <c r="B99">
        <v>60</v>
      </c>
      <c r="C99" t="s">
        <v>855</v>
      </c>
      <c r="D99">
        <v>66880</v>
      </c>
      <c r="E99">
        <v>35550</v>
      </c>
      <c r="F99">
        <v>16710</v>
      </c>
      <c r="G99">
        <v>56670</v>
      </c>
      <c r="H99">
        <v>30180</v>
      </c>
      <c r="I99">
        <v>14260</v>
      </c>
      <c r="J99">
        <v>49360</v>
      </c>
      <c r="K99">
        <v>26180</v>
      </c>
      <c r="L99">
        <v>11610</v>
      </c>
      <c r="M99" t="str">
        <f t="shared" si="32"/>
        <v>AED</v>
      </c>
      <c r="N99">
        <v>39563</v>
      </c>
      <c r="O99">
        <f t="shared" si="52"/>
        <v>36</v>
      </c>
      <c r="P99" s="3">
        <f>HLOOKUP(STclid,$R$7:$Z$104,ROWS($X$10:X99)+3,FALSE)</f>
        <v>15421.343124825298</v>
      </c>
      <c r="Q99" t="str">
        <f t="shared" si="44"/>
        <v>Uae</v>
      </c>
      <c r="R99" s="3">
        <f t="shared" si="34"/>
        <v>18199.725621831938</v>
      </c>
      <c r="S99" s="3">
        <f t="shared" si="35"/>
        <v>9674.091573720476</v>
      </c>
      <c r="T99" s="3">
        <f t="shared" si="36"/>
        <v>4547.2819514281055</v>
      </c>
      <c r="U99" s="3">
        <f t="shared" si="37"/>
        <v>15421.343124825298</v>
      </c>
      <c r="V99" s="3">
        <f t="shared" si="38"/>
        <v>8212.787557175358</v>
      </c>
      <c r="W99" s="3">
        <f t="shared" si="39"/>
        <v>3880.579001607707</v>
      </c>
      <c r="X99" s="3">
        <f t="shared" si="40"/>
        <v>13432.11922148362</v>
      </c>
      <c r="Y99" s="3">
        <f t="shared" si="41"/>
        <v>7124.292945223686</v>
      </c>
      <c r="Z99" s="3">
        <f t="shared" si="42"/>
        <v>3159.451321189725</v>
      </c>
      <c r="AA99" s="3">
        <f t="shared" si="45"/>
        <v>39563</v>
      </c>
      <c r="AB99" s="49"/>
      <c r="AC99" s="49"/>
      <c r="AD99" s="49"/>
      <c r="AE99" t="s">
        <v>916</v>
      </c>
      <c r="AI99" t="str">
        <f t="shared" si="46"/>
        <v>UAE (AED)</v>
      </c>
      <c r="AJ99" t="str">
        <f t="shared" si="47"/>
        <v>33900 24600 13700 </v>
      </c>
      <c r="AK99">
        <v>33900</v>
      </c>
      <c r="AL99">
        <v>24600</v>
      </c>
      <c r="AM99">
        <v>13700</v>
      </c>
      <c r="AO99" t="s">
        <v>699</v>
      </c>
      <c r="AS99" t="str">
        <f t="shared" si="48"/>
        <v>UAE (AED)</v>
      </c>
      <c r="AT99" t="str">
        <f t="shared" si="49"/>
        <v>28900 20900 11700 </v>
      </c>
      <c r="AU99">
        <v>28900</v>
      </c>
      <c r="AV99">
        <v>20900</v>
      </c>
      <c r="AW99">
        <v>11700</v>
      </c>
      <c r="AY99" t="s">
        <v>568</v>
      </c>
      <c r="BC99" t="str">
        <f t="shared" si="50"/>
        <v>UAE (AED)</v>
      </c>
      <c r="BD99" t="str">
        <f t="shared" si="51"/>
        <v>25100 18200 10200 </v>
      </c>
      <c r="BE99">
        <v>25100</v>
      </c>
      <c r="BF99">
        <v>18200</v>
      </c>
      <c r="BG99">
        <v>10200</v>
      </c>
    </row>
    <row r="100" spans="1:59" ht="12.75">
      <c r="A100" t="s">
        <v>857</v>
      </c>
      <c r="B100">
        <v>67</v>
      </c>
      <c r="C100" t="s">
        <v>856</v>
      </c>
      <c r="D100">
        <v>18212</v>
      </c>
      <c r="E100">
        <v>9520</v>
      </c>
      <c r="F100">
        <v>4189</v>
      </c>
      <c r="G100">
        <v>15433</v>
      </c>
      <c r="H100">
        <v>8057</v>
      </c>
      <c r="I100">
        <v>3708</v>
      </c>
      <c r="J100">
        <v>13442</v>
      </c>
      <c r="K100">
        <v>6995</v>
      </c>
      <c r="L100">
        <v>3153</v>
      </c>
      <c r="M100" t="str">
        <f t="shared" si="32"/>
        <v>USD</v>
      </c>
      <c r="N100">
        <v>39563</v>
      </c>
      <c r="O100">
        <f t="shared" si="52"/>
        <v>33</v>
      </c>
      <c r="P100" s="3">
        <f>HLOOKUP(STclid,$R$7:$Z$104,ROWS($X$10:X100)+3,FALSE)</f>
        <v>15433.09684</v>
      </c>
      <c r="Q100" t="str">
        <f t="shared" si="44"/>
        <v>Ukraine</v>
      </c>
      <c r="R100" s="3">
        <f t="shared" si="34"/>
        <v>18212.09684</v>
      </c>
      <c r="S100" s="3">
        <f t="shared" si="35"/>
        <v>9520.09684</v>
      </c>
      <c r="T100" s="3">
        <f t="shared" si="36"/>
        <v>4189.09684</v>
      </c>
      <c r="U100" s="3">
        <f t="shared" si="37"/>
        <v>15433.09684</v>
      </c>
      <c r="V100" s="3">
        <f t="shared" si="38"/>
        <v>8057.09684</v>
      </c>
      <c r="W100" s="3">
        <f t="shared" si="39"/>
        <v>3708.0968399999997</v>
      </c>
      <c r="X100" s="3">
        <f t="shared" si="40"/>
        <v>13442.09684</v>
      </c>
      <c r="Y100" s="3">
        <f t="shared" si="41"/>
        <v>6995.09684</v>
      </c>
      <c r="Z100" s="3">
        <f t="shared" si="42"/>
        <v>3153.0968399999997</v>
      </c>
      <c r="AA100" s="3">
        <f t="shared" si="45"/>
        <v>39563</v>
      </c>
      <c r="AB100" s="49"/>
      <c r="AC100" s="49"/>
      <c r="AD100" s="49"/>
      <c r="AE100" t="s">
        <v>917</v>
      </c>
      <c r="AI100" t="str">
        <f t="shared" si="46"/>
        <v>UKRAINE (USD)</v>
      </c>
      <c r="AJ100" t="str">
        <f t="shared" si="47"/>
        <v>9626 6872 3526 </v>
      </c>
      <c r="AK100">
        <v>9626</v>
      </c>
      <c r="AL100">
        <v>6872</v>
      </c>
      <c r="AM100">
        <v>3526</v>
      </c>
      <c r="AO100" t="s">
        <v>700</v>
      </c>
      <c r="AS100" t="str">
        <f t="shared" si="48"/>
        <v>UKRAINE (USD)</v>
      </c>
      <c r="AT100" t="str">
        <f t="shared" si="49"/>
        <v>8200 5854 3001 </v>
      </c>
      <c r="AU100">
        <v>8200</v>
      </c>
      <c r="AV100">
        <v>5854</v>
      </c>
      <c r="AW100">
        <v>3001</v>
      </c>
      <c r="AY100" t="s">
        <v>569</v>
      </c>
      <c r="BC100" t="str">
        <f t="shared" si="50"/>
        <v>UKRAINE (USD)</v>
      </c>
      <c r="BD100" t="str">
        <f t="shared" si="51"/>
        <v>7130 5090 2610 </v>
      </c>
      <c r="BE100">
        <v>7130</v>
      </c>
      <c r="BF100">
        <v>5090</v>
      </c>
      <c r="BG100">
        <v>2610</v>
      </c>
    </row>
    <row r="101" spans="1:59" ht="12.75">
      <c r="A101" t="s">
        <v>858</v>
      </c>
      <c r="B101">
        <v>72</v>
      </c>
      <c r="C101" t="s">
        <v>857</v>
      </c>
      <c r="D101">
        <v>16185</v>
      </c>
      <c r="E101">
        <v>10558</v>
      </c>
      <c r="F101">
        <v>5511</v>
      </c>
      <c r="G101">
        <v>13789</v>
      </c>
      <c r="H101">
        <v>9013</v>
      </c>
      <c r="I101">
        <v>4687</v>
      </c>
      <c r="J101">
        <v>11984</v>
      </c>
      <c r="K101">
        <v>7880</v>
      </c>
      <c r="L101">
        <v>4069</v>
      </c>
      <c r="M101" t="str">
        <f t="shared" si="32"/>
        <v>USD</v>
      </c>
      <c r="N101">
        <v>39563</v>
      </c>
      <c r="O101">
        <f t="shared" si="52"/>
        <v>40</v>
      </c>
      <c r="P101" s="3">
        <f>HLOOKUP(STclid,$R$7:$Z$104,ROWS($X$10:X101)+3,FALSE)</f>
        <v>13789.093949999999</v>
      </c>
      <c r="Q101" t="s">
        <v>1198</v>
      </c>
      <c r="R101" s="3">
        <f t="shared" si="34"/>
        <v>16185.093949999999</v>
      </c>
      <c r="S101" s="3">
        <f t="shared" si="35"/>
        <v>10558.093949999999</v>
      </c>
      <c r="T101" s="3">
        <f t="shared" si="36"/>
        <v>5511.09395</v>
      </c>
      <c r="U101" s="3">
        <f t="shared" si="37"/>
        <v>13789.093949999999</v>
      </c>
      <c r="V101" s="3">
        <f t="shared" si="38"/>
        <v>9013.093949999999</v>
      </c>
      <c r="W101" s="3">
        <f t="shared" si="39"/>
        <v>4687.09395</v>
      </c>
      <c r="X101" s="3">
        <f t="shared" si="40"/>
        <v>11984.093949999999</v>
      </c>
      <c r="Y101" s="3">
        <f t="shared" si="41"/>
        <v>7880.09395</v>
      </c>
      <c r="Z101" s="3">
        <f t="shared" si="42"/>
        <v>4069.09395</v>
      </c>
      <c r="AA101" s="3">
        <f t="shared" si="45"/>
        <v>39563</v>
      </c>
      <c r="AB101" s="49"/>
      <c r="AC101" s="49"/>
      <c r="AD101" s="49"/>
      <c r="AE101" t="s">
        <v>918</v>
      </c>
      <c r="AI101" t="str">
        <f t="shared" si="46"/>
        <v>USA (USD)</v>
      </c>
      <c r="AJ101" t="str">
        <f t="shared" si="47"/>
        <v>11210 8910 4990 </v>
      </c>
      <c r="AK101">
        <v>11210</v>
      </c>
      <c r="AL101">
        <v>8910</v>
      </c>
      <c r="AM101">
        <v>4990</v>
      </c>
      <c r="AO101" t="s">
        <v>701</v>
      </c>
      <c r="AS101" t="str">
        <f t="shared" si="48"/>
        <v>USA (USD)</v>
      </c>
      <c r="AT101" t="str">
        <f t="shared" si="49"/>
        <v>9550 7590 4250 </v>
      </c>
      <c r="AU101">
        <v>9550</v>
      </c>
      <c r="AV101">
        <v>7590</v>
      </c>
      <c r="AW101">
        <v>4250</v>
      </c>
      <c r="AY101" t="s">
        <v>570</v>
      </c>
      <c r="BC101" t="str">
        <f t="shared" si="50"/>
        <v>USA (USD)</v>
      </c>
      <c r="BD101" t="str">
        <f t="shared" si="51"/>
        <v>8300 6600 3700 </v>
      </c>
      <c r="BE101">
        <v>8300</v>
      </c>
      <c r="BF101">
        <v>6600</v>
      </c>
      <c r="BG101">
        <v>3700</v>
      </c>
    </row>
    <row r="102" spans="1:59" ht="12.75">
      <c r="A102" t="s">
        <v>859</v>
      </c>
      <c r="B102">
        <v>76</v>
      </c>
      <c r="C102" t="s">
        <v>858</v>
      </c>
      <c r="D102">
        <v>10990</v>
      </c>
      <c r="E102">
        <v>8780</v>
      </c>
      <c r="F102">
        <v>3610</v>
      </c>
      <c r="G102">
        <v>9370</v>
      </c>
      <c r="H102">
        <v>7480</v>
      </c>
      <c r="I102">
        <v>3080</v>
      </c>
      <c r="J102">
        <v>8140</v>
      </c>
      <c r="K102">
        <v>6500</v>
      </c>
      <c r="L102">
        <v>2680</v>
      </c>
      <c r="M102" t="str">
        <f t="shared" si="32"/>
        <v>USD</v>
      </c>
      <c r="N102" t="s">
        <v>493</v>
      </c>
      <c r="O102">
        <f t="shared" si="52"/>
        <v>70</v>
      </c>
      <c r="P102" s="3">
        <f>HLOOKUP(STclid,$R$7:$Z$104,ROWS($X$10:X102)+3,FALSE)</f>
        <v>9370.097199999998</v>
      </c>
      <c r="Q102" t="str">
        <f t="shared" si="44"/>
        <v>Venezuela</v>
      </c>
      <c r="R102" s="3">
        <f t="shared" si="34"/>
        <v>10990.097199999998</v>
      </c>
      <c r="S102" s="3">
        <f t="shared" si="35"/>
        <v>8780.097199999998</v>
      </c>
      <c r="T102" s="3">
        <f t="shared" si="36"/>
        <v>3610.0971999999997</v>
      </c>
      <c r="U102" s="3">
        <f t="shared" si="37"/>
        <v>9370.097199999998</v>
      </c>
      <c r="V102" s="3">
        <f t="shared" si="38"/>
        <v>7480.097200000001</v>
      </c>
      <c r="W102" s="3">
        <f t="shared" si="39"/>
        <v>3080.0971999999997</v>
      </c>
      <c r="X102" s="3">
        <f t="shared" si="40"/>
        <v>8140.097200000001</v>
      </c>
      <c r="Y102" s="3">
        <f t="shared" si="41"/>
        <v>6500.097200000001</v>
      </c>
      <c r="Z102" s="3">
        <f t="shared" si="42"/>
        <v>2680.0971999999997</v>
      </c>
      <c r="AA102" s="3" t="str">
        <f t="shared" si="45"/>
        <v>old</v>
      </c>
      <c r="AB102" s="49"/>
      <c r="AC102" s="49"/>
      <c r="AD102" s="49"/>
      <c r="AE102" t="s">
        <v>919</v>
      </c>
      <c r="AI102" t="str">
        <f t="shared" si="46"/>
        <v>VENEZUELA (USD)</v>
      </c>
      <c r="AJ102" t="str">
        <f t="shared" si="47"/>
        <v>10990 8780 3610 </v>
      </c>
      <c r="AK102">
        <v>10990</v>
      </c>
      <c r="AL102">
        <v>8780</v>
      </c>
      <c r="AM102">
        <v>3610</v>
      </c>
      <c r="AO102" t="s">
        <v>702</v>
      </c>
      <c r="AS102" t="str">
        <f t="shared" si="48"/>
        <v>VENEZUELA (USD)</v>
      </c>
      <c r="AT102" t="str">
        <f t="shared" si="49"/>
        <v>9370 7480 3080 </v>
      </c>
      <c r="AU102">
        <v>9370</v>
      </c>
      <c r="AV102">
        <v>7480</v>
      </c>
      <c r="AW102">
        <v>3080</v>
      </c>
      <c r="AY102" t="s">
        <v>571</v>
      </c>
      <c r="BC102" t="str">
        <f t="shared" si="50"/>
        <v>VENEZUELA (USD)</v>
      </c>
      <c r="BD102" t="str">
        <f t="shared" si="51"/>
        <v>8140 6500 2680 </v>
      </c>
      <c r="BE102">
        <v>8140</v>
      </c>
      <c r="BF102">
        <v>6500</v>
      </c>
      <c r="BG102">
        <v>2680</v>
      </c>
    </row>
    <row r="103" spans="2:59" ht="12.75">
      <c r="B103">
        <v>87</v>
      </c>
      <c r="C103" t="s">
        <v>859</v>
      </c>
      <c r="D103">
        <v>8629</v>
      </c>
      <c r="E103">
        <v>6399</v>
      </c>
      <c r="F103">
        <v>3709</v>
      </c>
      <c r="G103">
        <v>7349</v>
      </c>
      <c r="H103">
        <v>5449</v>
      </c>
      <c r="I103">
        <v>3159</v>
      </c>
      <c r="J103">
        <v>6389</v>
      </c>
      <c r="K103">
        <v>4739</v>
      </c>
      <c r="L103">
        <v>2749</v>
      </c>
      <c r="M103" t="str">
        <f t="shared" si="32"/>
        <v>USD</v>
      </c>
      <c r="N103">
        <v>39563</v>
      </c>
      <c r="O103">
        <f t="shared" si="52"/>
        <v>89</v>
      </c>
      <c r="P103" s="3">
        <f>HLOOKUP(STclid,$R$7:$Z$104,ROWS($X$10:X103)+3,FALSE)</f>
        <v>7349.0975100000005</v>
      </c>
      <c r="Q103" t="str">
        <f t="shared" si="44"/>
        <v>Vietnam</v>
      </c>
      <c r="R103" s="3">
        <f t="shared" si="34"/>
        <v>8629.09751</v>
      </c>
      <c r="S103" s="3">
        <f t="shared" si="35"/>
        <v>6399.0975100000005</v>
      </c>
      <c r="T103" s="3">
        <f t="shared" si="36"/>
        <v>3709.0975099999996</v>
      </c>
      <c r="U103" s="3">
        <f t="shared" si="37"/>
        <v>7349.0975100000005</v>
      </c>
      <c r="V103" s="3">
        <f t="shared" si="38"/>
        <v>5449.0975100000005</v>
      </c>
      <c r="W103" s="3">
        <f t="shared" si="39"/>
        <v>3159.0975099999996</v>
      </c>
      <c r="X103" s="3">
        <f t="shared" si="40"/>
        <v>6389.0975100000005</v>
      </c>
      <c r="Y103" s="3">
        <f t="shared" si="41"/>
        <v>4739.0975100000005</v>
      </c>
      <c r="Z103" s="3">
        <f t="shared" si="42"/>
        <v>2749.0975099999996</v>
      </c>
      <c r="AA103" s="3">
        <f t="shared" si="45"/>
        <v>39563</v>
      </c>
      <c r="AB103" s="49"/>
      <c r="AC103" s="49"/>
      <c r="AD103" s="49"/>
      <c r="AE103" t="s">
        <v>920</v>
      </c>
      <c r="AI103" t="str">
        <f t="shared" si="46"/>
        <v>VIETNAM (USD)</v>
      </c>
      <c r="AJ103" t="str">
        <f t="shared" si="47"/>
        <v>8629 6399 3709</v>
      </c>
      <c r="AK103">
        <v>8629</v>
      </c>
      <c r="AL103">
        <v>6399</v>
      </c>
      <c r="AM103">
        <v>3709</v>
      </c>
      <c r="AO103" t="s">
        <v>704</v>
      </c>
      <c r="AS103" t="str">
        <f t="shared" si="48"/>
        <v>VIETNAM (USD)</v>
      </c>
      <c r="AT103" t="str">
        <f t="shared" si="49"/>
        <v>7349 5449 3159 </v>
      </c>
      <c r="AU103">
        <v>7349</v>
      </c>
      <c r="AV103">
        <v>5449</v>
      </c>
      <c r="AW103">
        <v>3159</v>
      </c>
      <c r="AY103" t="s">
        <v>572</v>
      </c>
      <c r="BC103" t="str">
        <f t="shared" si="50"/>
        <v>VIETNAM (USD)</v>
      </c>
      <c r="BD103" t="str">
        <f t="shared" si="51"/>
        <v>6389 4739 2749</v>
      </c>
      <c r="BE103">
        <v>6389</v>
      </c>
      <c r="BF103">
        <v>4739</v>
      </c>
      <c r="BG103">
        <v>2749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2004-07-11T12:45:23Z</dcterms:created>
  <dcterms:modified xsi:type="dcterms:W3CDTF">2008-05-02T16:40:52Z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